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codeName="ThisWorkbook" autoCompressPictures="0"/>
  <mc:AlternateContent xmlns:mc="http://schemas.openxmlformats.org/markup-compatibility/2006">
    <mc:Choice Requires="x15">
      <x15ac:absPath xmlns:x15ac="http://schemas.microsoft.com/office/spreadsheetml/2010/11/ac" url="https://tecategroup-my.sharepoint.com/personal/jkroessler_tecategroup_com/Documents/Desktop/"/>
    </mc:Choice>
  </mc:AlternateContent>
  <xr:revisionPtr revIDLastSave="0" documentId="14_{5FE91C63-C40B-44E6-B9EA-B1BE1DBD05A3}"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4875" yWindow="5685" windowWidth="24150" windowHeight="733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7" i="5" l="1"/>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69" i="6" s="1"/>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6" i="5"/>
  <c r="X6" i="5"/>
  <c r="V7" i="5"/>
  <c r="X7" i="5"/>
  <c r="V8" i="5"/>
  <c r="X8" i="5"/>
  <c r="V9" i="5"/>
  <c r="X9" i="5"/>
  <c r="V10" i="5"/>
  <c r="R10" i="5" s="1"/>
  <c r="X10" i="5"/>
  <c r="V11" i="5"/>
  <c r="X11" i="5"/>
  <c r="V12" i="5"/>
  <c r="X12" i="5"/>
  <c r="V13" i="5"/>
  <c r="R13" i="5" s="1"/>
  <c r="X13" i="5"/>
  <c r="V14" i="5"/>
  <c r="E14" i="5"/>
  <c r="X14" i="5" s="1"/>
  <c r="V15" i="5"/>
  <c r="E15" i="5"/>
  <c r="X15" i="5" s="1"/>
  <c r="V16" i="5"/>
  <c r="E16" i="5"/>
  <c r="X16" i="5" s="1"/>
  <c r="V17" i="5"/>
  <c r="E17" i="5"/>
  <c r="X17" i="5" s="1"/>
  <c r="V18" i="5"/>
  <c r="E18" i="5"/>
  <c r="X18" i="5" s="1"/>
  <c r="V19" i="5"/>
  <c r="E19" i="5"/>
  <c r="X19" i="5" s="1"/>
  <c r="V20" i="5"/>
  <c r="E20" i="5"/>
  <c r="X20" i="5" s="1"/>
  <c r="V21" i="5"/>
  <c r="E21" i="5"/>
  <c r="X21" i="5" s="1"/>
  <c r="V22" i="5"/>
  <c r="E22" i="5"/>
  <c r="X22" i="5" s="1"/>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V38" i="5"/>
  <c r="E38" i="5"/>
  <c r="X38" i="5" s="1"/>
  <c r="V39" i="5"/>
  <c r="E39" i="5"/>
  <c r="X39" i="5" s="1"/>
  <c r="V40" i="5"/>
  <c r="E40" i="5"/>
  <c r="X40" i="5" s="1"/>
  <c r="V41" i="5"/>
  <c r="E41" i="5"/>
  <c r="X41" i="5" s="1"/>
  <c r="V42" i="5"/>
  <c r="E42" i="5"/>
  <c r="X42" i="5" s="1"/>
  <c r="V43" i="5"/>
  <c r="E43" i="5"/>
  <c r="X43" i="5" s="1"/>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c r="B59" i="6"/>
  <c r="G59" i="6"/>
  <c r="B58" i="6"/>
  <c r="G58" i="6"/>
  <c r="B57" i="6"/>
  <c r="G57" i="6"/>
  <c r="B56" i="6"/>
  <c r="G56" i="6"/>
  <c r="B55" i="6"/>
  <c r="G55" i="6" s="1"/>
  <c r="B54" i="6"/>
  <c r="G54" i="6"/>
  <c r="B17" i="6"/>
  <c r="B16" i="6"/>
  <c r="F21" i="6" s="1"/>
  <c r="B15" i="6"/>
  <c r="F20" i="6" s="1"/>
  <c r="B14" i="6"/>
  <c r="G14" i="6"/>
  <c r="H14" i="6"/>
  <c r="H13" i="6"/>
  <c r="B12" i="6"/>
  <c r="G12" i="6"/>
  <c r="H12" i="6"/>
  <c r="D12" i="6" s="1"/>
  <c r="B11" i="6"/>
  <c r="G11" i="6" s="1"/>
  <c r="H11" i="6" s="1"/>
  <c r="D11" i="6" s="1"/>
  <c r="G9" i="6"/>
  <c r="H9" i="6" s="1"/>
  <c r="D9" i="6" s="1"/>
  <c r="B8" i="6"/>
  <c r="G8" i="6"/>
  <c r="H8" i="6" s="1"/>
  <c r="D8" i="6" s="1"/>
  <c r="B7" i="6"/>
  <c r="G7" i="6" s="1"/>
  <c r="H7" i="6" s="1"/>
  <c r="D7" i="6" s="1"/>
  <c r="B6" i="6"/>
  <c r="G6" i="6"/>
  <c r="B5" i="6"/>
  <c r="F6" i="6" s="1"/>
  <c r="H6" i="6" s="1"/>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B90" i="4"/>
  <c r="H67" i="4"/>
  <c r="P47" i="4"/>
  <c r="B47" i="4" s="1"/>
  <c r="A32" i="6" s="1"/>
  <c r="P46" i="4"/>
  <c r="B46" i="4" s="1"/>
  <c r="A31" i="6" s="1"/>
  <c r="P45" i="4"/>
  <c r="P44" i="4"/>
  <c r="P43" i="4"/>
  <c r="Q43" i="4" s="1"/>
  <c r="P41" i="4"/>
  <c r="P40" i="4"/>
  <c r="P39" i="4"/>
  <c r="B39" i="4" s="1"/>
  <c r="B69" i="4" s="1"/>
  <c r="A50" i="6" s="1"/>
  <c r="P38" i="4"/>
  <c r="P37" i="4"/>
  <c r="Q37" i="4" s="1"/>
  <c r="P35" i="4"/>
  <c r="P34" i="4"/>
  <c r="P33" i="4"/>
  <c r="P32" i="4"/>
  <c r="P31" i="4"/>
  <c r="Q31" i="4" s="1"/>
  <c r="P29" i="4"/>
  <c r="P28" i="4"/>
  <c r="P27" i="4"/>
  <c r="B27" i="4" s="1"/>
  <c r="P26" i="4"/>
  <c r="B26" i="4" s="1"/>
  <c r="B32" i="4" s="1"/>
  <c r="A19" i="6" s="1"/>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B37" i="6" s="1"/>
  <c r="G37" i="6" s="1"/>
  <c r="F27" i="6"/>
  <c r="H27" i="6" s="1"/>
  <c r="D27" i="6" s="1"/>
  <c r="F2442" i="5"/>
  <c r="J2442" i="5"/>
  <c r="I2442" i="5"/>
  <c r="H2442" i="5"/>
  <c r="AB2460" i="5"/>
  <c r="F2497" i="5"/>
  <c r="R2497" i="5"/>
  <c r="J2497" i="5"/>
  <c r="I2497" i="5"/>
  <c r="H2497" i="5"/>
  <c r="S2501" i="5"/>
  <c r="F64" i="6"/>
  <c r="G5" i="6"/>
  <c r="H5" i="6" s="1"/>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s="1"/>
  <c r="D17" i="6" s="1"/>
  <c r="AB2443" i="5"/>
  <c r="S2443" i="5"/>
  <c r="S2450" i="5"/>
  <c r="S2452" i="5"/>
  <c r="J2461" i="5"/>
  <c r="J2469" i="5"/>
  <c r="S2495" i="5"/>
  <c r="S2499" i="5"/>
  <c r="S2503" i="5"/>
  <c r="G15" i="6"/>
  <c r="H15" i="6"/>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46" i="6" s="1"/>
  <c r="G46" i="6" s="1"/>
  <c r="B19" i="6"/>
  <c r="B34" i="6" s="1"/>
  <c r="G34" i="6" s="1"/>
  <c r="A38" i="2"/>
  <c r="J4" i="5"/>
  <c r="B41" i="4"/>
  <c r="A27" i="6" s="1"/>
  <c r="A55" i="2"/>
  <c r="A73" i="2"/>
  <c r="B9" i="3"/>
  <c r="A3" i="2"/>
  <c r="A20" i="2"/>
  <c r="B17" i="3"/>
  <c r="B29" i="4"/>
  <c r="B25" i="3"/>
  <c r="C20" i="3"/>
  <c r="A75" i="2"/>
  <c r="C25" i="3"/>
  <c r="N4" i="5"/>
  <c r="A43" i="2"/>
  <c r="C3" i="3"/>
  <c r="C19" i="3"/>
  <c r="P4" i="5"/>
  <c r="A45" i="2"/>
  <c r="C4" i="3"/>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A16"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C6" i="6" s="1"/>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X37" i="5"/>
  <c r="X535" i="5"/>
  <c r="S532" i="5"/>
  <c r="S356" i="5"/>
  <c r="S343" i="5"/>
  <c r="S315" i="5"/>
  <c r="S357" i="5"/>
  <c r="S383" i="5"/>
  <c r="B32" i="6"/>
  <c r="G32" i="6" s="1"/>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B52" i="6"/>
  <c r="G52" i="6" s="1"/>
  <c r="B42" i="6"/>
  <c r="G42" i="6"/>
  <c r="B44" i="6"/>
  <c r="G44" i="6"/>
  <c r="B49" i="6"/>
  <c r="G49" i="6" s="1"/>
  <c r="B29" i="6"/>
  <c r="G29" i="6" s="1"/>
  <c r="F2426" i="5"/>
  <c r="R2426" i="5"/>
  <c r="J2426" i="5"/>
  <c r="I2426" i="5"/>
  <c r="H2426" i="5"/>
  <c r="D5" i="6"/>
  <c r="F2446" i="5"/>
  <c r="H2446" i="5"/>
  <c r="J2446" i="5"/>
  <c r="I2446" i="5"/>
  <c r="R2446" i="5"/>
  <c r="G22" i="6"/>
  <c r="H22" i="6" s="1"/>
  <c r="D22" i="6" s="1"/>
  <c r="B47" i="6"/>
  <c r="G47" i="6" s="1"/>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H2439" i="5"/>
  <c r="F2439" i="5"/>
  <c r="R2439" i="5"/>
  <c r="J2439" i="5"/>
  <c r="I2439" i="5"/>
  <c r="F2414" i="5"/>
  <c r="R2414" i="5"/>
  <c r="J2414" i="5"/>
  <c r="I2414" i="5"/>
  <c r="H2414" i="5"/>
  <c r="J2448" i="5"/>
  <c r="F2448" i="5"/>
  <c r="I2448" i="5"/>
  <c r="H2448" i="5"/>
  <c r="R2448" i="5"/>
  <c r="B27" i="6"/>
  <c r="G27" i="6"/>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42" i="6"/>
  <c r="H42" i="6" s="1"/>
  <c r="D42" i="6" s="1"/>
  <c r="F32" i="6"/>
  <c r="H32" i="6" s="1"/>
  <c r="D32" i="6" s="1"/>
  <c r="F52" i="6"/>
  <c r="H52" i="6" s="1"/>
  <c r="D52" i="6" s="1"/>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X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D6" i="6"/>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597" i="5"/>
  <c r="S599" i="5"/>
  <c r="S611" i="5"/>
  <c r="S601" i="5"/>
  <c r="S600" i="5"/>
  <c r="S382" i="5"/>
  <c r="S533" i="5"/>
  <c r="S355" i="5"/>
  <c r="S602" i="5"/>
  <c r="S603" i="5"/>
  <c r="S605" i="5"/>
  <c r="S607" i="5"/>
  <c r="S314" i="5"/>
  <c r="AB12" i="5"/>
  <c r="AB9" i="5"/>
  <c r="AB10" i="5"/>
  <c r="AB14" i="5"/>
  <c r="AB17" i="5"/>
  <c r="AB16" i="5"/>
  <c r="AB8" i="5"/>
  <c r="G66" i="6" s="1"/>
  <c r="AB13" i="5"/>
  <c r="G67" i="6" s="1"/>
  <c r="AB15" i="5"/>
  <c r="AB11" i="5"/>
  <c r="AB7" i="5"/>
  <c r="G68" i="6" s="1"/>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R7" i="5"/>
  <c r="H17" i="5"/>
  <c r="I17" i="5"/>
  <c r="J17" i="5"/>
  <c r="R17" i="5"/>
  <c r="F17" i="5"/>
  <c r="G65" i="6"/>
  <c r="R12" i="5"/>
  <c r="R9" i="5"/>
  <c r="R8" i="5"/>
  <c r="H15" i="5"/>
  <c r="J15" i="5"/>
  <c r="I15" i="5"/>
  <c r="F15" i="5"/>
  <c r="R15" i="5"/>
  <c r="R11" i="5"/>
  <c r="I14" i="5"/>
  <c r="R14" i="5"/>
  <c r="J14" i="5"/>
  <c r="H14" i="5"/>
  <c r="F14" i="5"/>
  <c r="S17" i="5"/>
  <c r="S16" i="5"/>
  <c r="S15" i="5"/>
  <c r="S14" i="5"/>
  <c r="S10" i="5"/>
  <c r="S7" i="5"/>
  <c r="S6" i="5"/>
  <c r="S5" i="5"/>
  <c r="S13" i="5"/>
  <c r="S12" i="5"/>
  <c r="S11" i="5"/>
  <c r="S9" i="5"/>
  <c r="S8" i="5"/>
  <c r="G64" i="6" a="1"/>
  <c r="B55" i="4" l="1"/>
  <c r="A38" i="6" s="1"/>
  <c r="B89" i="4"/>
  <c r="A63" i="6" s="1"/>
  <c r="B81" i="4"/>
  <c r="A58" i="6" s="1"/>
  <c r="B77" i="4"/>
  <c r="A55" i="6" s="1"/>
  <c r="B75" i="4"/>
  <c r="A54" i="6" s="1"/>
  <c r="B87" i="4"/>
  <c r="A62" i="6" s="1"/>
  <c r="B83" i="4"/>
  <c r="A59" i="6" s="1"/>
  <c r="B67" i="4"/>
  <c r="A48" i="6" s="1"/>
  <c r="B79" i="4"/>
  <c r="A57" i="6" s="1"/>
  <c r="B43" i="4"/>
  <c r="A28" i="6" s="1"/>
  <c r="B31" i="4"/>
  <c r="A18" i="6" s="1"/>
  <c r="B61" i="4"/>
  <c r="A43" i="6" s="1"/>
  <c r="B49" i="4"/>
  <c r="A33" i="6" s="1"/>
  <c r="B85" i="4"/>
  <c r="A60" i="6" s="1"/>
  <c r="B37" i="4"/>
  <c r="A23" i="6" s="1"/>
  <c r="B36" i="6"/>
  <c r="G36" i="6" s="1"/>
  <c r="C22" i="6"/>
  <c r="F26" i="6"/>
  <c r="F51" i="6" s="1"/>
  <c r="H51" i="6" s="1"/>
  <c r="D51" i="6" s="1"/>
  <c r="C37" i="6"/>
  <c r="K65" i="6"/>
  <c r="D14" i="6"/>
  <c r="K68" i="6"/>
  <c r="C32" i="6"/>
  <c r="B26" i="6"/>
  <c r="G26" i="6" s="1"/>
  <c r="G21" i="6"/>
  <c r="H21" i="6"/>
  <c r="D21" i="6" s="1"/>
  <c r="C15" i="6"/>
  <c r="C27" i="6"/>
  <c r="C14" i="6"/>
  <c r="F37" i="6"/>
  <c r="H37" i="6" s="1"/>
  <c r="D37" i="6" s="1"/>
  <c r="G19" i="6"/>
  <c r="H19" i="6" s="1"/>
  <c r="D19" i="6" s="1"/>
  <c r="F47" i="6"/>
  <c r="H47" i="6" s="1"/>
  <c r="D47" i="6" s="1"/>
  <c r="B31" i="6"/>
  <c r="G31" i="6" s="1"/>
  <c r="C42" i="6"/>
  <c r="G16" i="6"/>
  <c r="H16" i="6" s="1"/>
  <c r="C16" i="6" s="1"/>
  <c r="F24" i="6"/>
  <c r="C19" i="6"/>
  <c r="B24" i="6"/>
  <c r="G24" i="6" s="1"/>
  <c r="B39" i="6"/>
  <c r="G39" i="6" s="1"/>
  <c r="B41" i="6"/>
  <c r="G41" i="6" s="1"/>
  <c r="B51" i="6"/>
  <c r="G51" i="6" s="1"/>
  <c r="B20" i="6"/>
  <c r="B25" i="6" s="1"/>
  <c r="G25" i="6" s="1"/>
  <c r="B45" i="6"/>
  <c r="G45" i="6" s="1"/>
  <c r="F68" i="6"/>
  <c r="H68" i="6" s="1"/>
  <c r="D68" i="6" s="1"/>
  <c r="C52" i="6"/>
  <c r="C17" i="6"/>
  <c r="C5" i="6"/>
  <c r="B65" i="4"/>
  <c r="A47" i="6" s="1"/>
  <c r="C12" i="6"/>
  <c r="C11" i="6"/>
  <c r="B34" i="4"/>
  <c r="A21" i="6" s="1"/>
  <c r="A14" i="6"/>
  <c r="C9" i="6"/>
  <c r="C8" i="6"/>
  <c r="C7" i="6"/>
  <c r="C10" i="6"/>
  <c r="C4" i="6"/>
  <c r="D4" i="6"/>
  <c r="G37" i="4"/>
  <c r="A15" i="6"/>
  <c r="B33" i="4"/>
  <c r="A20" i="6" s="1"/>
  <c r="B58" i="4"/>
  <c r="A41" i="6" s="1"/>
  <c r="A26" i="6"/>
  <c r="B52" i="4"/>
  <c r="A36" i="6" s="1"/>
  <c r="B64" i="4"/>
  <c r="A46" i="6" s="1"/>
  <c r="B53" i="4"/>
  <c r="A37" i="6" s="1"/>
  <c r="B71" i="4"/>
  <c r="A52" i="6" s="1"/>
  <c r="B59" i="4"/>
  <c r="A42" i="6" s="1"/>
  <c r="D74" i="4"/>
  <c r="D61" i="4"/>
  <c r="D49" i="4"/>
  <c r="D43" i="4"/>
  <c r="D67" i="4"/>
  <c r="A24" i="6"/>
  <c r="B50" i="4"/>
  <c r="A34" i="6" s="1"/>
  <c r="B62" i="4"/>
  <c r="A44" i="6" s="1"/>
  <c r="B56" i="4"/>
  <c r="A39" i="6" s="1"/>
  <c r="G69" i="6" a="1"/>
  <c r="G69" i="6" s="1"/>
  <c r="H69" i="6" s="1"/>
  <c r="X5" i="5"/>
  <c r="G64" i="6"/>
  <c r="B57" i="4"/>
  <c r="A40" i="6" s="1"/>
  <c r="B51" i="4"/>
  <c r="A35" i="6" s="1"/>
  <c r="A25" i="6"/>
  <c r="A17" i="6"/>
  <c r="B35" i="4"/>
  <c r="A22" i="6" s="1"/>
  <c r="B63" i="4"/>
  <c r="A45" i="6" s="1"/>
  <c r="G31" i="4"/>
  <c r="G61" i="4"/>
  <c r="G49" i="4"/>
  <c r="G67" i="4"/>
  <c r="G74" i="4"/>
  <c r="G55" i="4"/>
  <c r="D31" i="4"/>
  <c r="D55" i="4"/>
  <c r="T8" i="5"/>
  <c r="T9" i="5"/>
  <c r="T11" i="5"/>
  <c r="T12" i="5"/>
  <c r="T13" i="5"/>
  <c r="T5" i="5"/>
  <c r="T6" i="5"/>
  <c r="T10" i="5"/>
  <c r="C68" i="6" l="1"/>
  <c r="H26" i="6"/>
  <c r="D26" i="6" s="1"/>
  <c r="F31" i="6"/>
  <c r="F67" i="6"/>
  <c r="H67" i="6" s="1"/>
  <c r="F41" i="6"/>
  <c r="H41" i="6" s="1"/>
  <c r="F46" i="6"/>
  <c r="H46" i="6" s="1"/>
  <c r="F36" i="6"/>
  <c r="H36" i="6" s="1"/>
  <c r="D36" i="6" s="1"/>
  <c r="F34" i="6"/>
  <c r="H34" i="6" s="1"/>
  <c r="F65" i="6"/>
  <c r="F49" i="6"/>
  <c r="H49" i="6" s="1"/>
  <c r="H24" i="6"/>
  <c r="F29" i="6"/>
  <c r="H29" i="6" s="1"/>
  <c r="F44" i="6"/>
  <c r="H44" i="6" s="1"/>
  <c r="F39" i="6"/>
  <c r="H39" i="6" s="1"/>
  <c r="H31" i="6"/>
  <c r="B30" i="6"/>
  <c r="G30" i="6" s="1"/>
  <c r="B40" i="6"/>
  <c r="G40" i="6" s="1"/>
  <c r="B50" i="6"/>
  <c r="G50" i="6" s="1"/>
  <c r="B35" i="6"/>
  <c r="G35" i="6" s="1"/>
  <c r="G20" i="6"/>
  <c r="H20" i="6" s="1"/>
  <c r="C51" i="6"/>
  <c r="C21" i="6"/>
  <c r="C47" i="6"/>
  <c r="F25" i="6"/>
  <c r="K67" i="6"/>
  <c r="D16" i="6"/>
  <c r="H64" i="6"/>
  <c r="B64" i="6"/>
  <c r="C26" i="6" l="1"/>
  <c r="D46" i="6"/>
  <c r="C46" i="6"/>
  <c r="D67" i="6"/>
  <c r="C67" i="6"/>
  <c r="C36" i="6"/>
  <c r="D39" i="6"/>
  <c r="C39" i="6"/>
  <c r="D29" i="6"/>
  <c r="C29" i="6"/>
  <c r="D49" i="6"/>
  <c r="C49" i="6"/>
  <c r="D34" i="6"/>
  <c r="C34" i="6"/>
  <c r="D31" i="6"/>
  <c r="C31" i="6"/>
  <c r="D41" i="6"/>
  <c r="C41" i="6"/>
  <c r="F35" i="6"/>
  <c r="H35" i="6" s="1"/>
  <c r="F30" i="6"/>
  <c r="H30" i="6" s="1"/>
  <c r="H25" i="6"/>
  <c r="F45" i="6"/>
  <c r="H45" i="6" s="1"/>
  <c r="F66" i="6"/>
  <c r="H66" i="6" s="1"/>
  <c r="F50" i="6"/>
  <c r="H50" i="6" s="1"/>
  <c r="F40" i="6"/>
  <c r="H40" i="6" s="1"/>
  <c r="F54" i="6"/>
  <c r="C2" i="6"/>
  <c r="B2" i="6"/>
  <c r="H65" i="6"/>
  <c r="D44" i="6"/>
  <c r="C44" i="6"/>
  <c r="D24" i="6"/>
  <c r="C24" i="6"/>
  <c r="D20" i="6"/>
  <c r="C20" i="6"/>
  <c r="K66" i="6"/>
  <c r="C64" i="6"/>
  <c r="D64" i="6"/>
  <c r="D40" i="6" l="1"/>
  <c r="C40" i="6"/>
  <c r="F59" i="6"/>
  <c r="H59" i="6" s="1"/>
  <c r="H54" i="6"/>
  <c r="F62" i="6"/>
  <c r="H62" i="6" s="1"/>
  <c r="F58" i="6"/>
  <c r="H58" i="6" s="1"/>
  <c r="F60" i="6"/>
  <c r="H60" i="6" s="1"/>
  <c r="F63" i="6"/>
  <c r="H63" i="6" s="1"/>
  <c r="F55" i="6"/>
  <c r="F57" i="6"/>
  <c r="H57" i="6" s="1"/>
  <c r="D50" i="6"/>
  <c r="C50" i="6"/>
  <c r="D66" i="6"/>
  <c r="C66" i="6"/>
  <c r="D65" i="6"/>
  <c r="C65" i="6"/>
  <c r="D45" i="6"/>
  <c r="C45" i="6"/>
  <c r="D25" i="6"/>
  <c r="C25" i="6"/>
  <c r="D30" i="6"/>
  <c r="C30" i="6"/>
  <c r="D35" i="6"/>
  <c r="C35" i="6"/>
  <c r="D63" i="6" l="1"/>
  <c r="C63" i="6"/>
  <c r="D60" i="6"/>
  <c r="C60" i="6"/>
  <c r="D57" i="6"/>
  <c r="C57" i="6"/>
  <c r="D58" i="6"/>
  <c r="C58" i="6"/>
  <c r="D54" i="6"/>
  <c r="C54" i="6"/>
  <c r="D59" i="6"/>
  <c r="C59" i="6"/>
  <c r="H55" i="6"/>
  <c r="F56" i="6"/>
  <c r="H56" i="6" s="1"/>
  <c r="D62" i="6"/>
  <c r="C62" i="6"/>
  <c r="H70" i="6"/>
  <c r="D2" i="6" s="1"/>
  <c r="D56" i="6" l="1"/>
  <c r="C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<sst xmlns="http://schemas.openxmlformats.org/spreadsheetml/2006/main" count="22425" uniqueCount="15823">
  <si>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</si>
  <si>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</si>
  <si>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</si>
  <si>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</si>
  <si>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</si>
  <si>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</si>
  <si>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</si>
  <si>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</si>
  <si>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</si>
  <si>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</si>
  <si>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</si>
  <si>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</si>
  <si>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</si>
  <si>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</si>
  <si>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</si>
  <si>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</si>
  <si>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</si>
  <si>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</si>
  <si>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</si>
  <si>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</si>
  <si>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</si>
  <si>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</si>
  <si>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</si>
  <si>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</si>
  <si>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</si>
  <si>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</si>
  <si>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</si>
  <si>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</si>
  <si>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</si>
  <si>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</si>
  <si>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</si>
  <si>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</si>
  <si>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</si>
  <si>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</si>
  <si>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</si>
  <si>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</si>
  <si>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</si>
  <si>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</si>
  <si>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</si>
  <si>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</si>
  <si>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</si>
  <si>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</si>
  <si>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</si>
  <si>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</si>
  <si>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</si>
  <si>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</si>
  <si>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</si>
  <si>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</si>
  <si>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</si>
  <si>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</si>
  <si>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</si>
  <si>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</si>
  <si>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</si>
  <si>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</si>
  <si>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</si>
  <si>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</si>
  <si>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</si>
  <si>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</si>
  <si>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</si>
  <si>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</si>
  <si>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</si>
  <si>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</si>
  <si>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</si>
  <si>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</si>
  <si>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</si>
  <si>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</si>
  <si>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</si>
  <si>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</si>
  <si>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</si>
  <si>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</si>
  <si>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</si>
  <si>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</si>
  <si>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</si>
  <si>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</si>
  <si>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</si>
  <si>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</si>
  <si>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</si>
  <si>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</si>
  <si>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</si>
  <si>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</si>
  <si>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</si>
  <si>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</si>
  <si>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</si>
  <si>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</si>
  <si>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</si>
  <si>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</si>
  <si>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</si>
  <si>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</si>
  <si>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</si>
  <si>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</si>
  <si>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</si>
  <si>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</si>
  <si>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</si>
  <si>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</si>
  <si>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</si>
  <si>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</si>
  <si>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</si>
  <si>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</si>
  <si>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</si>
  <si>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</si>
  <si>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</si>
  <si>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</si>
  <si>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</si>
  <si>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</si>
  <si>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</si>
  <si>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</si>
  <si>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</si>
  <si>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</si>
  <si>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</si>
  <si>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</si>
  <si>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</si>
  <si>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</si>
  <si>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</si>
  <si>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</si>
  <si>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</si>
  <si>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</si>
  <si>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</si>
  <si>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</si>
  <si>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</si>
  <si>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</si>
  <si>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</si>
  <si>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</si>
  <si>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</si>
  <si>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</si>
  <si>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</si>
  <si>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</si>
  <si>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</si>
  <si>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</si>
  <si>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</si>
  <si>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</si>
  <si>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</si>
  <si>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</si>
  <si>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</si>
  <si>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</si>
  <si>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</si>
  <si>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</si>
  <si>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</si>
  <si>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</si>
  <si>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</si>
  <si>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</si>
  <si>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</si>
  <si>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</si>
  <si>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</si>
  <si>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</si>
  <si>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</si>
  <si>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</si>
  <si>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</si>
  <si>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</si>
  <si>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</si>
  <si>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</si>
  <si>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</si>
  <si>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</si>
  <si>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</si>
  <si>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</si>
  <si>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</si>
  <si>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</si>
  <si>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</si>
  <si>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</si>
  <si>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</si>
  <si>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</si>
  <si>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</si>
  <si>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</si>
  <si>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</si>
  <si>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</si>
  <si>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</si>
  <si>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</si>
  <si>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</si>
  <si>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</si>
  <si>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</si>
  <si>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</si>
  <si>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</si>
  <si>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</si>
  <si>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</si>
  <si>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</si>
  <si>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</si>
  <si>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</si>
  <si>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</si>
  <si>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</si>
  <si>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</si>
  <si>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</si>
  <si>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</si>
  <si>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</si>
  <si>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</si>
  <si>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</si>
  <si>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</si>
  <si>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</si>
  <si>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</si>
  <si>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</si>
  <si>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</si>
  <si>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</si>
  <si>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</si>
  <si>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</si>
  <si>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</si>
  <si>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</si>
  <si>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</si>
  <si>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</si>
  <si>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</si>
  <si>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</si>
  <si>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</si>
  <si>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</si>
  <si>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</si>
  <si>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</si>
  <si>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</si>
  <si>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</si>
  <si>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</si>
  <si>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</si>
  <si>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</si>
  <si>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</si>
  <si>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</si>
  <si>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</si>
  <si>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</si>
  <si>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</si>
  <si>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</si>
  <si>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</si>
  <si>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</si>
  <si>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</si>
  <si>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</si>
  <si>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</si>
  <si>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</si>
  <si>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</si>
  <si>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</si>
  <si>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</si>
  <si>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</si>
  <si>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</si>
  <si>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</si>
  <si>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</si>
  <si>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</si>
  <si>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</si>
  <si>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</si>
  <si>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</si>
  <si>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</si>
  <si>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</si>
  <si>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</si>
  <si>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</si>
  <si>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</si>
  <si>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</si>
  <si>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</si>
  <si>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</si>
  <si>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</si>
  <si>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</si>
  <si>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</si>
  <si>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</si>
  <si>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</si>
  <si>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</si>
  <si>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</si>
  <si>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</si>
  <si>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</si>
  <si>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</si>
  <si>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</si>
  <si>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</si>
  <si>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</si>
  <si>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</si>
  <si>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</si>
  <si>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</si>
  <si>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</si>
  <si>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</si>
  <si>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</si>
  <si>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</si>
  <si>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</si>
  <si>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</si>
  <si>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</si>
  <si>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</si>
  <si>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</si>
  <si>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</si>
  <si>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</si>
  <si>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</si>
  <si>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</si>
  <si>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</si>
  <si>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</si>
  <si>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</si>
  <si>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</si>
  <si>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</si>
  <si>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</si>
  <si>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</si>
  <si>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</si>
  <si>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</si>
  <si>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</si>
  <si>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</si>
  <si>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</si>
  <si>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</si>
  <si>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</si>
  <si>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</si>
  <si>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</si>
  <si>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</si>
  <si>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</si>
  <si>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</si>
  <si>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</si>
  <si>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</si>
  <si>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</si>
  <si>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</si>
  <si>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</si>
  <si>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</si>
  <si>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</si>
  <si>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</si>
  <si>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</si>
  <si>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</si>
  <si>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</si>
  <si>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</si>
  <si>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</si>
  <si>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</si>
  <si>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</si>
  <si>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</si>
  <si>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</si>
  <si>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</si>
  <si>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</si>
  <si>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</si>
  <si>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</si>
  <si>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</si>
  <si>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</si>
  <si>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</si>
  <si>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</si>
  <si>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</si>
  <si>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</si>
  <si>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</si>
  <si>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</si>
  <si>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</si>
  <si>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</si>
  <si>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</si>
  <si>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</si>
  <si>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</si>
  <si>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</si>
  <si>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</si>
  <si>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</si>
  <si>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</si>
  <si>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</si>
  <si>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</si>
  <si>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</si>
  <si>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</si>
  <si>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</si>
  <si>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</si>
  <si>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</si>
  <si>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</si>
  <si>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</si>
  <si>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</si>
  <si>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</si>
  <si>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</si>
  <si>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</si>
  <si>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</si>
  <si>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</si>
  <si>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</si>
  <si>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</si>
  <si>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</si>
  <si>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</si>
  <si>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</si>
  <si>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</si>
  <si>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</si>
  <si>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</si>
  <si>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</si>
  <si>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</si>
  <si>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</si>
  <si>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</si>
  <si>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</si>
  <si>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</si>
  <si>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</si>
  <si>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</si>
  <si>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</si>
  <si>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</si>
  <si>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</si>
  <si>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</si>
  <si>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</si>
  <si>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</si>
  <si>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</si>
  <si>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</si>
  <si>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</si>
  <si>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</si>
  <si>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</si>
  <si>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</si>
  <si>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</si>
  <si>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</si>
  <si>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</si>
  <si>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</si>
  <si>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</si>
  <si>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</si>
  <si>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</si>
  <si>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</si>
  <si>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</si>
  <si>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</si>
  <si>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</si>
  <si>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</si>
  <si>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</si>
  <si>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</si>
  <si>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</si>
  <si>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</si>
  <si>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</si>
  <si>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</si>
  <si>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</si>
  <si>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</si>
  <si>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</si>
  <si>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</si>
  <si>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</si>
  <si>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</si>
  <si>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</si>
  <si>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</si>
  <si>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</si>
  <si>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</si>
  <si>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</si>
  <si>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</si>
  <si>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</si>
  <si>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</si>
  <si>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</si>
  <si>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</si>
  <si>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</si>
  <si>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</si>
  <si>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</si>
  <si>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</si>
  <si>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</si>
  <si>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</si>
  <si>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</si>
  <si>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</si>
  <si>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</si>
  <si>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</si>
  <si>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</si>
  <si>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</si>
  <si>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</si>
  <si>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</si>
  <si>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</si>
  <si>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</si>
  <si>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</si>
  <si>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</si>
  <si>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</si>
  <si>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</si>
  <si>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</si>
  <si>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</si>
  <si>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</si>
  <si>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</si>
  <si>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</si>
  <si>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</si>
  <si>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</si>
  <si>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</si>
  <si>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</si>
  <si>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</si>
  <si>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</si>
  <si>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</si>
  <si>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</si>
  <si>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</si>
  <si>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</si>
  <si>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</si>
  <si>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</si>
  <si>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</si>
  <si>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</si>
  <si>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</si>
  <si>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</si>
  <si>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</si>
  <si>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</si>
  <si>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</si>
  <si>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</si>
  <si>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</si>
  <si>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</si>
  <si>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</si>
  <si>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</si>
  <si>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</si>
  <si>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</si>
  <si>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</si>
  <si>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</si>
  <si>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</si>
  <si>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</si>
  <si>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</si>
  <si>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</si>
  <si>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</si>
  <si>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</si>
  <si>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</si>
  <si>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</si>
  <si>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</si>
  <si>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</si>
  <si>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</si>
  <si>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</si>
  <si>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</si>
  <si>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</si>
  <si>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</si>
  <si>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</si>
  <si>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</si>
  <si>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</si>
  <si>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</si>
  <si>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</si>
  <si>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</si>
  <si>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</si>
  <si>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</si>
  <si>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</si>
  <si>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</si>
  <si>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</si>
  <si>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</si>
  <si>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</si>
  <si>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</si>
  <si>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</si>
  <si>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</si>
  <si>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</si>
  <si>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</si>
  <si>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</si>
  <si>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</si>
  <si>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</si>
  <si>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</si>
  <si>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</si>
  <si>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</si>
  <si>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</si>
  <si>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</si>
  <si>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</si>
  <si>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</si>
  <si>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</si>
  <si>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</si>
  <si>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</si>
  <si>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</si>
  <si>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</si>
  <si>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</si>
  <si>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</si>
  <si>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</si>
  <si>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</si>
  <si>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</si>
  <si>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</si>
  <si>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</si>
  <si>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</si>
  <si>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</si>
  <si>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</si>
  <si>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</si>
  <si>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</si>
  <si>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</si>
  <si>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</si>
  <si>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</si>
  <si>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</si>
  <si>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</si>
  <si>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</si>
  <si>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</si>
  <si>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</si>
  <si>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</si>
  <si>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</si>
  <si>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</si>
  <si>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</si>
  <si>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</si>
  <si>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</si>
  <si>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</si>
  <si>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</si>
  <si>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</si>
  <si>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</si>
  <si>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</si>
  <si>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</si>
  <si>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</si>
  <si>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</si>
  <si>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</si>
  <si>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</si>
  <si>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</si>
  <si>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</si>
  <si>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</si>
  <si>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</si>
  <si>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</si>
  <si>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</si>
  <si>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</si>
  <si>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</si>
  <si>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</si>
  <si>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</si>
  <si>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</si>
  <si>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</si>
  <si>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</si>
  <si>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</si>
  <si>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</si>
  <si>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</si>
  <si>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</si>
  <si>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</si>
  <si>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</si>
  <si>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</si>
  <si>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</si>
  <si>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</si>
  <si>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</si>
  <si>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</si>
  <si>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</si>
  <si>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</si>
  <si>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</si>
  <si>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</si>
  <si>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</si>
  <si>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</si>
  <si>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</si>
  <si>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</si>
  <si>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</si>
  <si>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</si>
  <si>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</si>
  <si>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</si>
  <si>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</si>
  <si>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</si>
  <si>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</si>
  <si>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</si>
  <si>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</si>
  <si>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</si>
  <si>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</si>
  <si>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</si>
  <si>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</si>
  <si>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</si>
  <si>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</si>
  <si>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</si>
  <si>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</si>
  <si>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</si>
  <si>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</si>
  <si>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</si>
  <si>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</si>
  <si>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</si>
  <si>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</si>
  <si>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</si>
  <si>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</si>
  <si>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</si>
  <si>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</si>
  <si>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</si>
  <si>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</si>
  <si>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</si>
  <si>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</si>
  <si>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</si>
  <si>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</si>
  <si>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</si>
  <si>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</si>
  <si>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</si>
  <si>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</si>
  <si>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</si>
  <si>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</si>
  <si>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</si>
  <si>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</si>
  <si>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</si>
  <si>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</si>
  <si>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</si>
  <si>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</si>
  <si>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</si>
  <si>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</si>
  <si>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</si>
  <si>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</si>
  <si>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</si>
  <si>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</si>
  <si>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</si>
  <si>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</si>
  <si>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</si>
  <si>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</si>
  <si>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</si>
  <si>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</si>
  <si>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</si>
  <si>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</si>
  <si>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</si>
  <si>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</si>
  <si>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</si>
  <si>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</si>
  <si>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</si>
  <si>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</si>
  <si>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</si>
  <si>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</si>
  <si>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</si>
  <si>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</si>
  <si>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</si>
  <si>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</si>
  <si>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</si>
  <si>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</si>
  <si>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</si>
  <si>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</si>
  <si>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</si>
  <si>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</si>
  <si>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</si>
  <si>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</si>
  <si>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</si>
  <si>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</si>
  <si>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</si>
  <si>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</si>
  <si>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</si>
  <si>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</si>
  <si>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</si>
  <si>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</si>
  <si>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</si>
  <si>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</si>
  <si>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</si>
  <si>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</si>
  <si>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</si>
  <si>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</si>
  <si>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</si>
  <si>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</si>
  <si>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</si>
  <si>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</si>
  <si>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</si>
  <si>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</si>
  <si>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</si>
  <si>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</si>
  <si>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</si>
  <si>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</si>
  <si>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</si>
  <si>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</si>
  <si>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</si>
  <si>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</si>
  <si>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</si>
  <si>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</si>
  <si>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</si>
  <si>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</si>
  <si>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</si>
  <si>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</si>
  <si>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</si>
  <si>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</si>
  <si>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</si>
  <si>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</si>
  <si>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</si>
  <si>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</si>
  <si>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</si>
  <si>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</si>
  <si>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</si>
  <si>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</si>
  <si>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</si>
  <si>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</si>
  <si>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</si>
  <si>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</si>
  <si>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</si>
  <si>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</si>
  <si>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</si>
  <si>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</si>
  <si>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</si>
  <si>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</si>
  <si>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</si>
  <si>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</si>
  <si>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</si>
  <si>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</si>
  <si>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</si>
  <si>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</si>
  <si>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</si>
  <si>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</si>
  <si>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</si>
  <si>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</si>
  <si>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</si>
  <si>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</si>
  <si>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</si>
  <si>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</si>
  <si>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</si>
  <si>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</si>
  <si>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</si>
  <si>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</si>
  <si>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</si>
  <si>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</si>
  <si>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</si>
  <si>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</si>
  <si>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</si>
  <si>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</si>
  <si>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</si>
  <si>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</si>
  <si>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</si>
  <si>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</si>
  <si>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</si>
  <si>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</si>
  <si>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</si>
  <si>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</si>
  <si>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</si>
  <si>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</si>
  <si>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</si>
  <si>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</si>
  <si>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</si>
  <si>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</si>
  <si>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</si>
  <si>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</si>
  <si>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</si>
  <si>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</si>
  <si>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</si>
  <si>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</si>
  <si>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</si>
  <si>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</si>
  <si>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</si>
  <si>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</si>
  <si>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</si>
  <si>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</si>
  <si>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</si>
  <si>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</si>
  <si>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</si>
  <si>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</si>
  <si>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</si>
  <si>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</si>
  <si>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</si>
  <si>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</si>
  <si>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</si>
  <si>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</si>
  <si>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</si>
  <si>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</si>
  <si>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</si>
  <si>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</si>
  <si>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</si>
  <si>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</si>
  <si>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</si>
  <si>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</si>
  <si>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</si>
  <si>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</si>
  <si>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</si>
  <si>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</si>
  <si>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</si>
  <si>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</si>
  <si>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</si>
  <si>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</si>
  <si>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</si>
  <si>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</si>
  <si>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</si>
  <si>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</si>
  <si>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</si>
  <si>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</si>
  <si>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</si>
  <si>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</si>
  <si>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</si>
  <si>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</si>
  <si>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</si>
  <si>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</si>
  <si>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</si>
  <si>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</si>
  <si>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</si>
  <si>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</si>
  <si>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</si>
  <si>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</si>
  <si>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</si>
  <si>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</si>
  <si>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</si>
  <si>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</si>
  <si>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</si>
  <si>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</si>
  <si>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</si>
  <si>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</si>
  <si>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</si>
  <si>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</si>
  <si>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</si>
  <si>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</si>
  <si>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</si>
  <si>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</si>
  <si>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</si>
  <si>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</si>
  <si>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</si>
  <si>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</si>
  <si>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</si>
  <si>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</si>
  <si>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</si>
  <si>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</si>
  <si>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</si>
  <si>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</si>
  <si>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</si>
  <si>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</si>
  <si>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</si>
  <si>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</si>
  <si>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</si>
  <si>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</si>
  <si>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</si>
  <si>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</si>
  <si>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</si>
  <si>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</si>
  <si>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</si>
  <si>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</si>
  <si>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</si>
  <si>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</si>
  <si>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</si>
  <si>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</si>
  <si>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</si>
  <si>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</si>
  <si>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</si>
  <si>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</si>
  <si>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</si>
  <si>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</si>
  <si>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</si>
  <si>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</si>
  <si>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</si>
  <si>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</si>
  <si>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</si>
  <si>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</si>
  <si>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</si>
  <si>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</si>
  <si>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</si>
  <si>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</si>
  <si>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</si>
  <si>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</si>
  <si>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</si>
  <si>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</si>
  <si>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</si>
  <si>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</si>
  <si>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</si>
  <si>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</si>
  <si>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</si>
  <si>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</si>
  <si>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</si>
  <si>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</si>
  <si>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</si>
  <si>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</si>
  <si>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</si>
  <si>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</si>
  <si>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</si>
  <si>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</si>
  <si>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</si>
  <si>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</si>
  <si>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</si>
  <si>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</si>
  <si>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</si>
  <si>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</si>
  <si>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</si>
  <si>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</si>
  <si>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</si>
  <si>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</si>
  <si>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</si>
  <si>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</si>
  <si>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</si>
  <si>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</si>
  <si>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</si>
  <si>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</si>
  <si>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</si>
  <si>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</si>
  <si>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</si>
  <si>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</si>
  <si>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</si>
  <si>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</si>
  <si>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</si>
  <si>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</si>
  <si>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</si>
  <si>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</si>
  <si>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</si>
  <si>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</si>
  <si>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</si>
  <si>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</si>
  <si>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</si>
  <si>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</si>
  <si>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</si>
  <si>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</si>
  <si>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</si>
  <si>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</si>
  <si>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</si>
  <si>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</si>
  <si>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</si>
  <si>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</si>
  <si>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</si>
  <si>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</si>
  <si>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</si>
  <si>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</si>
  <si>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</si>
  <si>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</si>
  <si>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</si>
  <si>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</si>
  <si>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</si>
  <si>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</si>
  <si>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</si>
  <si>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</si>
  <si>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</si>
  <si>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</si>
  <si>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</si>
  <si>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</si>
  <si>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</si>
  <si>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</si>
  <si>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</si>
  <si>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</si>
  <si>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</si>
  <si>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</si>
  <si>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</si>
  <si>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</si>
  <si>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</si>
  <si>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</si>
  <si>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</si>
  <si>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</si>
  <si>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</si>
  <si>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</si>
  <si>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</si>
  <si>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</si>
  <si>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</si>
  <si>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</si>
  <si>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</si>
  <si>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</si>
  <si>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</si>
  <si>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</si>
  <si>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</si>
  <si>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</si>
  <si>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</si>
  <si>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</si>
  <si>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</si>
  <si>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</si>
  <si>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</si>
  <si>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</si>
  <si>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</si>
  <si>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</si>
  <si>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</si>
  <si>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</si>
  <si>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</si>
  <si>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</si>
  <si>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</si>
  <si>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</si>
  <si>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</si>
  <si>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</si>
  <si>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</si>
  <si>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</si>
  <si>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</si>
  <si>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</si>
  <si>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</si>
  <si>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</si>
  <si>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</si>
  <si>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</si>
  <si>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</si>
  <si>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</si>
  <si>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</si>
  <si>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</si>
  <si>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</si>
  <si>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</si>
  <si>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</si>
  <si>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</si>
  <si>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</si>
  <si>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</si>
  <si>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</si>
  <si>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</si>
  <si>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</si>
  <si>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</si>
  <si>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</si>
  <si>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</si>
  <si>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</si>
  <si>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</si>
  <si>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</si>
  <si>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</si>
  <si>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</si>
  <si>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</si>
  <si>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</si>
  <si>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</si>
  <si>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</si>
  <si>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</si>
  <si>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</si>
  <si>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</si>
  <si>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</si>
  <si>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</si>
  <si>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</si>
  <si>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</si>
  <si>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</si>
  <si>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</si>
  <si>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</si>
  <si>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</si>
  <si>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</si>
  <si>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</si>
  <si>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</si>
  <si>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</si>
  <si>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</si>
  <si>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</si>
  <si>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</si>
  <si>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</si>
  <si>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</si>
  <si>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</si>
  <si>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</si>
  <si>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</si>
  <si>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</si>
  <si>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</si>
  <si>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</si>
  <si>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</si>
  <si>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</si>
  <si>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</si>
  <si>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</si>
  <si>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</si>
  <si>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</si>
  <si>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</si>
  <si>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</si>
  <si>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</si>
  <si>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</si>
  <si>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</si>
  <si>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</si>
  <si>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</si>
  <si>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</si>
  <si>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</si>
  <si>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</si>
  <si>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</si>
  <si>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</si>
  <si>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</si>
  <si>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</si>
  <si>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</si>
  <si>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</si>
  <si>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</si>
  <si>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</si>
  <si>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</si>
  <si>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</si>
  <si>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</si>
  <si>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</si>
  <si>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</si>
  <si>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</si>
  <si>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</si>
  <si>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</si>
  <si>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</si>
  <si>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</si>
  <si>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</si>
  <si>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</si>
  <si>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</si>
  <si>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</si>
  <si>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</si>
  <si>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</si>
  <si>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</si>
  <si>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</si>
  <si>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</si>
  <si>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</si>
  <si>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</si>
  <si>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</si>
  <si>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</si>
  <si>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</si>
  <si>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</si>
  <si>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</si>
  <si>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</si>
  <si>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</si>
  <si>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</si>
  <si>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</si>
  <si>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</si>
  <si>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</si>
  <si>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</si>
  <si>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</si>
  <si>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</si>
  <si>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</si>
  <si>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</si>
  <si>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</si>
  <si>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</si>
  <si>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</si>
  <si>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</si>
  <si>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</si>
  <si>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</si>
  <si>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</si>
  <si>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</si>
  <si>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</si>
  <si>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</si>
  <si>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</si>
  <si>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</si>
  <si>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</si>
  <si>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</si>
  <si>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</si>
  <si>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</si>
  <si>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</si>
  <si>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</si>
  <si>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</si>
  <si>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</si>
  <si>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</si>
  <si>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</si>
  <si>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</si>
  <si>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</si>
  <si>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</si>
  <si>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</si>
  <si>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</si>
  <si>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</si>
  <si>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</si>
  <si>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</si>
  <si>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</si>
  <si>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</si>
  <si>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</si>
  <si>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</si>
  <si>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</si>
  <si>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</si>
  <si>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</si>
  <si>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</si>
  <si>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</si>
  <si>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</si>
  <si>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</si>
  <si>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</si>
  <si>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</si>
  <si>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</si>
  <si>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</si>
  <si>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</si>
  <si>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</si>
  <si>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</si>
  <si>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</si>
  <si>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</si>
  <si>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</si>
  <si>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</si>
  <si>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</si>
  <si>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</si>
  <si>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</si>
  <si>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</si>
  <si>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</si>
  <si>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</si>
  <si>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</si>
  <si>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</si>
  <si>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</si>
  <si>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</si>
  <si>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</si>
  <si>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</si>
  <si>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</si>
  <si>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</si>
  <si>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</si>
  <si>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</si>
  <si>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</si>
  <si>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</si>
  <si>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</si>
  <si>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</si>
  <si>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</si>
  <si>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</si>
  <si>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</si>
  <si>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</si>
  <si>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</si>
  <si>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</si>
  <si>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</si>
  <si>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</si>
  <si>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</si>
  <si>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</si>
  <si>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</si>
  <si>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</si>
  <si>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</si>
  <si>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</si>
  <si>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</si>
  <si>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</si>
  <si>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</si>
  <si>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</si>
  <si>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</si>
  <si>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</si>
  <si>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</si>
  <si>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</si>
  <si>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</si>
  <si>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</si>
  <si>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</si>
  <si>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</si>
  <si>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</si>
  <si>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</si>
  <si>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</si>
  <si>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</si>
  <si>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</si>
  <si>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</si>
  <si>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</si>
  <si>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</si>
  <si>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</si>
  <si>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</si>
  <si>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</si>
  <si>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</si>
  <si>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</si>
  <si>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</si>
  <si>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</si>
  <si>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</si>
  <si>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</si>
  <si>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</si>
  <si>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</si>
  <si>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</si>
  <si>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</si>
  <si>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</si>
  <si>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</si>
  <si>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</si>
  <si>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</si>
  <si>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</si>
  <si>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</si>
  <si>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</si>
  <si>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</si>
  <si>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</si>
  <si>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</si>
  <si>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</si>
  <si>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</si>
  <si>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</si>
  <si>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</si>
  <si>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</si>
  <si>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</si>
  <si>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</si>
  <si>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</si>
  <si>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</si>
  <si>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</si>
  <si>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</si>
  <si>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</si>
  <si>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</si>
  <si>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</si>
  <si>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</si>
  <si>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</si>
  <si>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</si>
  <si>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</si>
  <si>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</si>
  <si>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</si>
  <si>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</si>
  <si>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</si>
  <si>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</si>
  <si>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</si>
  <si>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</si>
  <si>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</si>
  <si>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</si>
  <si>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</si>
  <si>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</si>
  <si>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</si>
  <si>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</si>
  <si>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</si>
  <si>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</si>
  <si>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</si>
  <si>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</si>
  <si>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</si>
  <si>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</si>
  <si>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</si>
  <si>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</si>
  <si>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</si>
  <si>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</si>
  <si>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</si>
  <si>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</si>
  <si>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</si>
  <si>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</si>
  <si>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</si>
  <si>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</si>
  <si>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</si>
  <si>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</si>
  <si>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</si>
  <si>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</si>
  <si>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</si>
  <si>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</si>
  <si>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</si>
  <si>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</si>
  <si>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</si>
  <si>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</si>
  <si>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</si>
  <si>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</si>
  <si>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</si>
  <si>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</si>
  <si>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</si>
  <si>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</si>
  <si>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</si>
  <si>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</si>
  <si>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</si>
  <si>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</si>
  <si>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</si>
  <si>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</si>
  <si>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</si>
  <si>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</si>
  <si>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</si>
  <si>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</si>
  <si>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</si>
  <si>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</si>
  <si>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</si>
  <si>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</si>
  <si>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</si>
  <si>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</si>
  <si>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</si>
  <si>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</si>
  <si>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</si>
  <si>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</si>
  <si>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</si>
  <si>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</si>
  <si>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</si>
  <si>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</si>
  <si>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</si>
  <si>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</si>
  <si>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</si>
  <si>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</si>
  <si>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</si>
  <si>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</si>
  <si>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</si>
  <si>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</si>
  <si>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</si>
  <si>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</si>
  <si>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</si>
  <si>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</si>
  <si>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</si>
  <si>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</si>
  <si>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</si>
  <si>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</si>
  <si>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</si>
  <si>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</si>
  <si>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</si>
  <si>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</si>
  <si>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</si>
  <si>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</si>
  <si>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</si>
  <si>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</si>
  <si>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</si>
  <si>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</si>
  <si>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</si>
  <si>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</si>
  <si>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</si>
  <si>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</si>
  <si>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</si>
  <si>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</si>
  <si>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</si>
  <si>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</si>
  <si>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</si>
  <si>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</si>
  <si>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</si>
  <si>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</si>
  <si>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</si>
  <si>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</si>
  <si>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</si>
  <si>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</si>
  <si>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</si>
  <si>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</si>
  <si>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</si>
  <si>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</si>
  <si>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</si>
  <si>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</si>
  <si>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</si>
  <si>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</si>
  <si>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</si>
  <si>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</si>
  <si>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</si>
  <si>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</si>
  <si>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</si>
  <si>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</si>
  <si>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</si>
  <si>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</si>
  <si>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</si>
  <si>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</si>
  <si>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</si>
  <si>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</si>
  <si>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</si>
  <si>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</si>
  <si>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</si>
  <si>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</si>
  <si>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</si>
  <si>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</si>
  <si>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</si>
  <si>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</si>
  <si>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</si>
  <si>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</si>
  <si>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</si>
  <si>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</si>
  <si>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</si>
  <si>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</si>
  <si>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</si>
  <si>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</si>
  <si>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</si>
  <si>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</si>
  <si>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</si>
  <si>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</si>
  <si>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</si>
  <si>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</si>
  <si>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</si>
  <si>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</si>
  <si>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</si>
  <si>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</si>
  <si>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</si>
  <si>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</si>
  <si>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</si>
  <si>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</si>
  <si>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</si>
  <si>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</si>
  <si>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</si>
  <si>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</si>
  <si>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</si>
  <si>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</si>
  <si>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</si>
  <si>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</si>
  <si>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</si>
  <si>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</si>
  <si>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</si>
  <si>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</si>
  <si>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</si>
  <si>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</si>
  <si>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</si>
  <si>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</si>
  <si>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</si>
  <si>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</si>
  <si>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</si>
  <si>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</si>
  <si>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</si>
  <si>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</si>
  <si>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</si>
  <si>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</si>
  <si>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</si>
  <si>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</si>
  <si>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</si>
  <si>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</si>
  <si>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</si>
  <si>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</si>
  <si>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</si>
  <si>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</si>
  <si>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</si>
  <si>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</si>
  <si>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</si>
  <si>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</si>
  <si>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</si>
  <si>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</si>
  <si>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</si>
  <si>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</si>
  <si>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</si>
  <si>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</si>
  <si>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</si>
  <si>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</si>
  <si>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</si>
  <si>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</si>
  <si>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</si>
  <si>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</si>
  <si>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</si>
  <si>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</si>
  <si>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</si>
  <si>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</si>
  <si>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</si>
  <si>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</si>
  <si>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</si>
  <si>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</si>
  <si>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</si>
  <si>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</si>
  <si>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</si>
  <si>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</si>
  <si>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</si>
  <si>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</si>
  <si>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</si>
  <si>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</si>
  <si>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</si>
  <si>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</si>
  <si>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</si>
  <si>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</si>
  <si>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</si>
  <si>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</si>
  <si>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</si>
  <si>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</si>
  <si>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</si>
  <si>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</si>
  <si>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</si>
  <si>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</si>
  <si>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</si>
  <si>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</si>
  <si>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</si>
  <si>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</si>
  <si>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</si>
  <si>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</si>
  <si>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</si>
  <si>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</si>
  <si>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</si>
  <si>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</si>
  <si>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</si>
  <si>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</si>
  <si>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</si>
  <si>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</si>
  <si>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</si>
  <si>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</si>
  <si>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</si>
  <si>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</si>
  <si>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</si>
  <si>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</si>
  <si>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</si>
  <si>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</si>
  <si>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</si>
  <si>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</si>
  <si>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</si>
  <si>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</si>
  <si>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</si>
  <si>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</si>
  <si>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</si>
  <si>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</si>
  <si>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</si>
  <si>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</si>
  <si>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</si>
  <si>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</si>
  <si>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</si>
  <si>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</si>
  <si>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</si>
  <si>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</si>
  <si>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</si>
  <si>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</si>
  <si>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</si>
  <si>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</si>
  <si>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</si>
  <si>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</si>
  <si>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</si>
  <si>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</si>
  <si>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</si>
  <si>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</si>
  <si>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</si>
  <si>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</si>
  <si>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</si>
  <si>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</si>
  <si>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</si>
  <si>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</si>
  <si>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</si>
  <si>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</si>
  <si>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</si>
  <si>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</si>
  <si>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</si>
  <si>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</si>
  <si>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</si>
  <si>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</si>
  <si>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</si>
  <si>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</si>
  <si>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</si>
  <si>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</si>
  <si>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</si>
  <si>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</si>
  <si>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</si>
  <si>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</si>
  <si>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</si>
  <si>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</si>
  <si>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</si>
  <si>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</si>
  <si>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</si>
  <si>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</si>
  <si>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</si>
  <si>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</si>
  <si>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</si>
  <si>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</si>
  <si>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</si>
  <si>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</si>
  <si>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</si>
  <si>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</si>
  <si>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</si>
  <si>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</si>
  <si>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</si>
  <si>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</si>
  <si>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</si>
  <si>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</si>
  <si>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</si>
  <si>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</si>
  <si>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</si>
  <si>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</si>
  <si>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</si>
  <si>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</si>
  <si>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</si>
  <si>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</si>
  <si>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</si>
  <si>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</si>
  <si>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</si>
  <si>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</si>
  <si>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</si>
  <si>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</si>
  <si>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</si>
  <si>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</si>
  <si>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</si>
  <si>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</si>
  <si>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</si>
  <si>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</si>
  <si>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</si>
  <si>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</si>
  <si>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</si>
  <si>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</si>
  <si>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</si>
  <si>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</si>
  <si>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</si>
  <si>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</si>
  <si>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</si>
  <si>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</si>
  <si>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</si>
  <si>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</si>
  <si>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</si>
  <si>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</si>
  <si>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</si>
  <si>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</si>
  <si>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</si>
  <si>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</si>
  <si>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</si>
  <si>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</si>
  <si>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</si>
  <si>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</si>
  <si>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</si>
  <si>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</si>
  <si>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</si>
  <si>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</si>
  <si>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</si>
  <si>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</si>
  <si>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</si>
  <si>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</si>
  <si>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</si>
  <si>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</si>
  <si>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</si>
  <si>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</si>
  <si>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</si>
  <si>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</si>
  <si>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</si>
  <si>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</si>
  <si>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</si>
  <si>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</si>
  <si>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</si>
  <si>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</si>
  <si>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</si>
  <si>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</si>
  <si>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</si>
  <si>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</si>
  <si>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</si>
  <si>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</si>
  <si>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</si>
  <si>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</si>
  <si>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</si>
  <si>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</si>
  <si>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</si>
  <si>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</si>
  <si>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</si>
  <si>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</si>
  <si>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</si>
  <si>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</si>
  <si>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</si>
  <si>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</si>
  <si>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</si>
  <si>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</si>
  <si>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</si>
  <si>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</si>
  <si>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</si>
  <si>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</si>
  <si>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</si>
  <si>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</si>
  <si>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</si>
  <si>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</si>
  <si>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</si>
  <si>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</si>
  <si>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</si>
  <si>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</si>
  <si>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</si>
  <si>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</si>
  <si>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</si>
  <si>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</si>
  <si>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</si>
  <si>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</si>
  <si>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</si>
  <si>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</si>
  <si>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</si>
  <si>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</si>
  <si>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</si>
  <si>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</si>
  <si>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</si>
  <si>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</si>
  <si>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</si>
  <si>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</si>
  <si>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</si>
  <si>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</si>
  <si>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</si>
  <si>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</si>
  <si>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</si>
  <si>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</si>
  <si>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</si>
  <si>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</si>
  <si>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</si>
  <si>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</si>
  <si>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</si>
  <si>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</si>
  <si>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</si>
  <si>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</si>
  <si>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</si>
  <si>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</si>
  <si>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</si>
  <si>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</si>
  <si>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</si>
  <si>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</si>
  <si>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</si>
  <si>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</si>
  <si>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</si>
  <si>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</si>
  <si>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</si>
  <si>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</si>
  <si>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</si>
  <si>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</si>
  <si>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</si>
  <si>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</si>
  <si>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</si>
  <si>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</si>
  <si>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</si>
  <si>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</si>
  <si>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</si>
  <si>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</si>
  <si>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</si>
  <si>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</si>
  <si>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</si>
  <si>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</si>
  <si>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</si>
  <si>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</si>
  <si>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</si>
  <si>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</si>
  <si>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</si>
  <si>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</si>
  <si>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</si>
  <si>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</si>
  <si>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</si>
  <si>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</si>
  <si>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</si>
  <si>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</si>
  <si>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</si>
  <si>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</si>
  <si>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</si>
  <si>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</si>
  <si>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</si>
  <si>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</si>
  <si>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</si>
  <si>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</si>
  <si>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</si>
  <si>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</si>
  <si>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</si>
  <si>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</si>
  <si>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</si>
  <si>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</si>
  <si>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</si>
  <si>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</si>
  <si>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</si>
  <si>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</si>
  <si>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</si>
  <si>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</si>
  <si>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</si>
  <si>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</si>
  <si>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</si>
  <si>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</si>
  <si>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</si>
  <si>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</si>
  <si>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</si>
  <si>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</si>
  <si>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</si>
  <si>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</si>
  <si>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</si>
  <si>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</si>
  <si>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</si>
  <si>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</si>
  <si>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</si>
  <si>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</si>
  <si>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</si>
  <si>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</si>
  <si>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</si>
  <si>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</si>
  <si>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</si>
  <si>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</si>
  <si>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</si>
  <si>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</si>
  <si>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</si>
  <si>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</si>
  <si>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</si>
  <si>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</si>
  <si>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</si>
  <si>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</si>
  <si>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</si>
  <si>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</si>
  <si>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</si>
  <si>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</si>
  <si>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</si>
  <si>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</si>
  <si>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</si>
  <si>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</si>
  <si>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</si>
  <si>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</si>
  <si>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</si>
  <si>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</si>
  <si>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</si>
  <si>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</si>
  <si>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</si>
  <si>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</si>
  <si>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</si>
  <si>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</si>
  <si>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</si>
  <si>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</si>
  <si>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</si>
  <si>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</si>
  <si>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</si>
  <si>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</si>
  <si>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</si>
  <si>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</si>
  <si>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</si>
  <si>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</si>
  <si>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</si>
  <si>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</si>
  <si>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</si>
  <si>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</si>
  <si>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</si>
  <si>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</si>
  <si>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</si>
  <si>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</si>
  <si>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</si>
  <si>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</si>
  <si>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</si>
  <si>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</si>
  <si>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</si>
  <si>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</si>
  <si>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</si>
  <si>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</si>
  <si>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</si>
  <si>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</si>
  <si>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</si>
  <si>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</si>
  <si>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</si>
  <si>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</si>
  <si>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</si>
  <si>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</si>
  <si>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</si>
  <si>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</si>
  <si>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</si>
  <si>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</si>
  <si>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</si>
  <si>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</si>
  <si>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</si>
  <si>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</si>
  <si>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</si>
  <si>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</si>
  <si>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</si>
  <si>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</si>
  <si>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</si>
  <si>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</si>
  <si>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</si>
  <si>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</si>
  <si>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</si>
  <si>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</si>
  <si>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</si>
  <si>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</si>
  <si>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</si>
  <si>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</si>
  <si>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</si>
  <si>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</si>
  <si>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</si>
  <si>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</si>
  <si>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</si>
  <si>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</si>
  <si>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</si>
  <si>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</si>
  <si>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</si>
  <si>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</si>
  <si>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</si>
  <si>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</si>
  <si>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</si>
  <si>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</si>
  <si>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</si>
  <si>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</si>
  <si>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</si>
  <si>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</si>
  <si>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</si>
  <si>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</si>
  <si>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</si>
  <si>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</si>
  <si>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</si>
  <si>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</si>
  <si>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</si>
  <si>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</si>
  <si>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</si>
  <si>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</si>
  <si>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</si>
  <si>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</si>
  <si>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</si>
  <si>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</si>
  <si>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</si>
  <si>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</si>
  <si>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</si>
  <si>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</si>
  <si>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</si>
  <si>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</si>
  <si>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</si>
  <si>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</si>
  <si>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</si>
  <si>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</si>
  <si>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</si>
  <si>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</si>
  <si>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</si>
  <si>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</si>
  <si>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</si>
  <si>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</si>
  <si>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</si>
  <si>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</si>
  <si>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</si>
  <si>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</si>
  <si>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</si>
  <si>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</si>
  <si>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</si>
  <si>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</si>
  <si>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</si>
  <si>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</si>
  <si>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</si>
  <si>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</si>
  <si>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</si>
  <si>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</si>
  <si>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</si>
  <si>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</si>
  <si>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</si>
  <si>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</si>
  <si>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</si>
  <si>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</si>
  <si>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</si>
  <si>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</si>
  <si>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</si>
  <si>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</si>
  <si>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</si>
  <si>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</si>
  <si>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</si>
  <si>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</si>
  <si>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</si>
  <si>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</si>
  <si>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</si>
  <si>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</si>
  <si>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</si>
  <si>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</si>
  <si>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</si>
  <si>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</si>
  <si>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</si>
  <si>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</si>
  <si>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</si>
  <si>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</si>
  <si>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</si>
  <si>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</si>
  <si>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</si>
  <si>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</si>
  <si>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</si>
  <si>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</si>
  <si>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</si>
  <si>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</si>
  <si>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</si>
  <si>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</si>
  <si>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</si>
  <si>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</si>
  <si>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</si>
  <si>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</si>
  <si>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</si>
  <si>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</si>
  <si>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</si>
  <si>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</si>
  <si>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</si>
  <si>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</si>
  <si>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</si>
  <si>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</si>
  <si>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</si>
  <si>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</si>
  <si>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</si>
  <si>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</si>
  <si>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</si>
  <si>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</si>
  <si>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</si>
  <si>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</si>
  <si>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</si>
  <si>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</si>
  <si>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</si>
  <si>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</si>
  <si>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</si>
  <si>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</si>
  <si>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</si>
  <si>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</si>
  <si>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</si>
  <si>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</si>
  <si>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</si>
  <si>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</si>
  <si>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</si>
  <si>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</si>
  <si>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</si>
  <si>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</si>
  <si>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</si>
  <si>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</si>
  <si>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</si>
  <si>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</si>
  <si>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</si>
  <si>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</si>
  <si>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</si>
  <si>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</si>
  <si>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</si>
  <si>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</si>
  <si>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</si>
  <si>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</si>
  <si>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</si>
  <si>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</si>
  <si>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</si>
  <si>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</si>
  <si>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</si>
  <si>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</si>
  <si>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</si>
  <si>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</si>
  <si>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</si>
  <si>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</si>
  <si>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</si>
  <si>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</si>
  <si>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</si>
  <si>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</si>
  <si>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</si>
  <si>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</si>
  <si>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</si>
  <si>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</si>
  <si>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</si>
  <si>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</si>
  <si>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</si>
  <si>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</si>
  <si>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</si>
  <si>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</si>
  <si>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</si>
  <si>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</si>
  <si>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</si>
  <si>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</si>
  <si>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</si>
  <si>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</si>
  <si>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</si>
  <si>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</si>
  <si>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</si>
  <si>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</si>
  <si>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</si>
  <si>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</si>
  <si>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</si>
  <si>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</si>
  <si>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</si>
  <si>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</si>
  <si>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</si>
  <si>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</si>
  <si>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</si>
  <si>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</si>
  <si>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</si>
  <si>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</si>
  <si>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</si>
  <si>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</si>
  <si>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</si>
  <si>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</si>
  <si>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</si>
  <si>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</si>
  <si>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</si>
  <si>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</si>
  <si>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</si>
  <si>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</si>
  <si>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</si>
  <si>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</si>
  <si>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</si>
  <si>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</si>
  <si>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</si>
  <si>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</si>
  <si>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</si>
  <si>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</si>
  <si>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</si>
  <si>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</si>
  <si>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</si>
  <si>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</si>
  <si>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</si>
  <si>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</si>
  <si>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</si>
  <si>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</si>
  <si>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</si>
  <si>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</si>
  <si>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</si>
  <si>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</si>
  <si>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</si>
  <si>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</si>
  <si>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</si>
  <si>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</si>
  <si>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</si>
  <si>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</si>
  <si>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</si>
  <si>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</si>
  <si>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</si>
  <si>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</si>
  <si>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</si>
  <si>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</si>
  <si>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</si>
  <si>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</si>
  <si>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</si>
  <si>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</si>
  <si>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</si>
  <si>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</si>
  <si>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</si>
  <si>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</si>
  <si>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</si>
  <si>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</si>
  <si>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</si>
  <si>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</si>
  <si>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</si>
  <si>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</si>
  <si>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</si>
  <si>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</si>
  <si>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</si>
  <si>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</si>
  <si>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</si>
  <si>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</si>
  <si>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</si>
  <si>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</si>
  <si>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</si>
  <si>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</si>
  <si>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</si>
  <si>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</si>
  <si>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</si>
  <si>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</si>
  <si>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</si>
  <si>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</si>
  <si>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</si>
  <si>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</si>
  <si>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</si>
  <si>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</si>
  <si>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</si>
  <si>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</si>
  <si>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</si>
  <si>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</si>
  <si>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</si>
  <si>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</si>
  <si>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</si>
  <si>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</si>
  <si>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</si>
  <si>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</si>
  <si>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</si>
  <si>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</si>
  <si>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</si>
  <si>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</si>
  <si>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</si>
  <si>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</si>
  <si>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</si>
  <si>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</si>
  <si>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</si>
  <si>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</si>
  <si>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</si>
  <si>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</si>
  <si>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</si>
  <si>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</si>
  <si>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</si>
  <si>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</si>
  <si>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</si>
  <si>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</si>
  <si>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</si>
  <si>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</si>
  <si>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</si>
  <si>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</si>
  <si>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</si>
  <si>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</si>
  <si>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</si>
  <si>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</si>
  <si>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</si>
  <si>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</si>
  <si>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</si>
  <si>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</si>
  <si>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</si>
  <si>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</si>
  <si>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</si>
  <si>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</si>
  <si>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</si>
  <si>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</si>
  <si>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</si>
  <si>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</si>
  <si>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</si>
  <si>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</si>
  <si>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</si>
  <si>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</si>
  <si>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</si>
  <si>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</si>
  <si>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</si>
  <si>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</si>
  <si>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</si>
  <si>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</si>
  <si>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</si>
  <si>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</si>
  <si>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</si>
  <si>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</si>
  <si>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</si>
  <si>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</si>
  <si>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</si>
  <si>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</si>
  <si>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</si>
  <si>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</si>
  <si>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</si>
  <si>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</si>
  <si>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</si>
  <si>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</si>
  <si>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</si>
  <si>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</si>
  <si>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</si>
  <si>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</si>
  <si>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</si>
  <si>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</si>
  <si>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</si>
  <si>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</si>
  <si>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</si>
  <si>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</si>
  <si>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</si>
  <si>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</si>
  <si>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</si>
  <si>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</si>
  <si>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</si>
  <si>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</si>
  <si>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</si>
  <si>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</si>
  <si>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</si>
  <si>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</si>
  <si>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</si>
  <si>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</si>
  <si>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</si>
  <si>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</si>
  <si>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</si>
  <si>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</si>
  <si>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</si>
  <si>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</si>
  <si>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</si>
  <si>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</si>
  <si>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</si>
  <si>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</si>
  <si>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</si>
  <si>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</si>
  <si>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</si>
  <si>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</si>
  <si>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</si>
  <si>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</si>
  <si>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</si>
  <si>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</si>
  <si>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</si>
  <si>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</si>
  <si>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</si>
  <si>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</si>
  <si>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</si>
  <si>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</si>
  <si>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</si>
  <si>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</si>
  <si>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</si>
  <si>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</si>
  <si>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</si>
  <si>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</si>
  <si>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</si>
  <si>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</si>
  <si>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</si>
  <si>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</si>
  <si>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</si>
  <si>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</si>
  <si>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</si>
  <si>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</si>
  <si>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</si>
  <si>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</si>
  <si>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</si>
  <si>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</si>
  <si>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</si>
  <si>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</si>
  <si>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</si>
  <si>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</si>
  <si>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</si>
  <si>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</si>
  <si>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</si>
  <si>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</si>
  <si>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</si>
  <si>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</si>
  <si>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</si>
  <si>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</si>
  <si>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</si>
  <si>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</si>
  <si>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</si>
  <si>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</si>
  <si>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</si>
  <si>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</si>
  <si>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</si>
  <si>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</si>
  <si>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</si>
  <si>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</si>
  <si>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</si>
  <si>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</si>
  <si>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</si>
  <si>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</si>
  <si>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</si>
  <si>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</si>
  <si>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</si>
  <si>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</si>
  <si>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</si>
  <si>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</si>
  <si>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</si>
  <si>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</si>
  <si>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</si>
  <si>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</si>
  <si>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</si>
  <si>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</si>
  <si>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</si>
  <si>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</si>
  <si>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</si>
  <si>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</si>
  <si>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</si>
  <si>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</si>
  <si>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</si>
  <si>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</si>
  <si>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</si>
  <si>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</si>
  <si>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</si>
  <si>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</si>
  <si>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</si>
  <si>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</si>
  <si>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</si>
  <si>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</si>
  <si>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</si>
  <si>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</si>
  <si>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</si>
  <si>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</si>
  <si>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</si>
  <si>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</si>
  <si>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</si>
  <si>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</si>
  <si>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</si>
  <si>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</si>
  <si>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</si>
  <si>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</si>
  <si>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</si>
  <si>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</si>
  <si>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</si>
  <si>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</si>
  <si>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</si>
  <si>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</si>
  <si>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</si>
  <si>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</si>
  <si>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</si>
  <si>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</si>
  <si>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</si>
  <si>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</si>
  <si>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</si>
  <si>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</si>
  <si>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</si>
  <si>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</si>
  <si>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</si>
  <si>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</si>
  <si>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</si>
  <si>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</si>
  <si>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</si>
  <si>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</si>
  <si>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</si>
  <si>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</si>
  <si>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</si>
  <si>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</si>
  <si>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</si>
  <si>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</si>
  <si>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</si>
  <si>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</si>
  <si>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</si>
  <si>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</si>
  <si>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</si>
  <si>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</si>
  <si>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</si>
  <si>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</si>
  <si>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</si>
  <si>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</si>
  <si>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</si>
  <si>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</si>
  <si>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</si>
  <si>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</si>
  <si>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</si>
  <si>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</si>
  <si>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</si>
  <si>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</si>
  <si>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</si>
  <si>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</si>
  <si>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</si>
  <si>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</si>
  <si>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</si>
  <si>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</si>
  <si>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</si>
  <si>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</si>
  <si>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</si>
  <si>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</si>
  <si>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</si>
  <si>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</si>
  <si>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</si>
  <si>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</si>
  <si>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</si>
  <si>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</si>
  <si>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</si>
  <si>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</si>
  <si>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</si>
  <si>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</si>
  <si>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</si>
  <si>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</si>
  <si>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</si>
  <si>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</si>
  <si>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</si>
  <si>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</si>
  <si>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</si>
  <si>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</si>
  <si>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</si>
  <si>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</si>
  <si>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</si>
  <si>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</si>
  <si>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</si>
  <si>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</si>
  <si>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</si>
  <si>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</si>
  <si>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</si>
  <si>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</si>
  <si>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</si>
  <si>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</si>
  <si>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</si>
  <si>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</si>
  <si>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</si>
  <si>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</si>
  <si>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</si>
  <si>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</si>
  <si>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</si>
  <si>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</si>
  <si>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</si>
  <si>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</si>
  <si>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</si>
  <si>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</si>
  <si>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</si>
  <si>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</si>
  <si>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</si>
  <si>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</si>
  <si>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</si>
  <si>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</si>
  <si>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</si>
  <si>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</si>
  <si>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</si>
  <si>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</si>
  <si>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</si>
  <si>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</si>
  <si>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</si>
  <si>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</si>
  <si>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</si>
  <si>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</si>
  <si>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</si>
  <si>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</si>
  <si>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</si>
  <si>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</si>
  <si>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</si>
  <si>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</si>
  <si>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</si>
  <si>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</si>
  <si>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</si>
  <si>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</si>
  <si>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</si>
  <si>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</si>
  <si>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</si>
  <si>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</si>
  <si>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</si>
  <si>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</si>
  <si>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</si>
  <si>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</si>
  <si>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</si>
  <si>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</si>
  <si>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</si>
  <si>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</si>
  <si>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</si>
  <si>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</si>
  <si>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</si>
  <si>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</si>
  <si>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</si>
  <si>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</si>
  <si>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</si>
  <si>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</si>
  <si>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</si>
  <si>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</si>
  <si>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</si>
  <si>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</si>
  <si>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</si>
  <si>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</si>
  <si>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</si>
  <si>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</si>
  <si>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</si>
  <si>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</si>
  <si>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</si>
  <si>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</si>
  <si>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</si>
  <si>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</si>
  <si>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</si>
  <si>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</si>
  <si>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</si>
  <si>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</si>
  <si>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</si>
  <si>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</si>
  <si>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</si>
  <si>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</si>
  <si>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</si>
  <si>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</si>
  <si>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</si>
  <si>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</si>
  <si>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</si>
  <si>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</si>
  <si>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</si>
  <si>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</si>
  <si>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</si>
  <si>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</si>
  <si>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</si>
  <si>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</si>
  <si>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</si>
  <si>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</si>
  <si>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</si>
  <si>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</si>
  <si>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</si>
  <si>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</si>
  <si>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</si>
  <si>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</si>
  <si>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</si>
  <si>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</si>
  <si>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</si>
  <si>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</si>
  <si>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</si>
  <si>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</si>
  <si>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</si>
  <si>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</si>
  <si>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</si>
  <si>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</si>
  <si>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</si>
  <si>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</si>
  <si>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</si>
  <si>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</si>
  <si>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</si>
  <si>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</si>
  <si>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</si>
  <si>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</si>
  <si>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</si>
  <si>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</si>
  <si>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</si>
  <si>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</si>
  <si>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</si>
  <si>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</si>
  <si>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</si>
  <si>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</si>
  <si>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</si>
  <si>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</si>
  <si>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</si>
  <si>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</si>
  <si>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</si>
  <si>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</si>
  <si>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</si>
  <si>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</si>
  <si>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</si>
  <si>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</si>
  <si>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</si>
  <si>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</si>
  <si>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</si>
  <si>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</si>
  <si>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</si>
  <si>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</si>
  <si>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</si>
  <si>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</si>
  <si>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</si>
  <si>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</si>
  <si>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</si>
  <si>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</si>
  <si>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</si>
  <si>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</si>
  <si>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</si>
  <si>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</si>
  <si>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</si>
  <si>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</si>
  <si>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</si>
  <si>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</si>
  <si>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</si>
  <si>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</si>
  <si>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</si>
  <si>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</si>
  <si>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</si>
  <si>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</si>
  <si>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</si>
  <si>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</si>
  <si>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</si>
  <si>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</si>
  <si>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</si>
  <si>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</si>
  <si>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</si>
  <si>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</si>
  <si>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</si>
  <si>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</si>
  <si>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</si>
  <si>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</si>
  <si>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</si>
  <si>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</si>
  <si>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</si>
  <si>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</si>
  <si>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</si>
  <si>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</si>
  <si>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</si>
  <si>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</si>
  <si>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</si>
  <si>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</si>
  <si>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</si>
  <si>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</si>
  <si>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</si>
  <si>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</si>
  <si>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</si>
  <si>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</si>
  <si>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</si>
  <si>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</si>
  <si>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</si>
  <si>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</si>
  <si>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</si>
  <si>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</si>
  <si>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</si>
  <si>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</si>
  <si>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</si>
  <si>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</si>
  <si>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</si>
  <si>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</si>
  <si>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</si>
  <si>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</si>
  <si>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</si>
  <si>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</si>
  <si>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</si>
  <si>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</si>
  <si>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</si>
  <si>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</si>
  <si>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</si>
  <si>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</si>
  <si>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</si>
  <si>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</si>
  <si>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</si>
  <si>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</si>
  <si>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</si>
  <si>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</si>
  <si>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</si>
  <si>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</si>
  <si>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</si>
  <si>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</si>
  <si>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</si>
  <si>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</si>
  <si>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</si>
  <si>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</si>
  <si>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</si>
  <si>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</si>
  <si>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</si>
  <si>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</si>
  <si>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</si>
  <si>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</si>
  <si>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</si>
  <si>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</si>
  <si>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</si>
  <si>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</si>
  <si>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</si>
  <si>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</si>
  <si>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</si>
  <si>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</si>
  <si>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</si>
  <si>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</si>
  <si>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</si>
  <si>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</si>
  <si>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</si>
  <si>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</si>
  <si>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</si>
  <si>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</si>
  <si>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</si>
  <si>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</si>
  <si>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</si>
  <si>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</si>
  <si>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</si>
  <si>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</si>
  <si>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</si>
  <si>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</si>
  <si>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</si>
  <si>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</si>
  <si>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</si>
  <si>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</si>
  <si>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</si>
  <si>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</si>
  <si>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</si>
  <si>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</si>
  <si>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</si>
  <si>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</si>
  <si>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</si>
  <si>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</si>
  <si>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</si>
  <si>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</si>
  <si>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</si>
  <si>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</si>
  <si>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</si>
  <si>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</si>
  <si>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</si>
  <si>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</si>
  <si>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</si>
  <si>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</si>
  <si>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</si>
  <si>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</si>
  <si>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</si>
  <si>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</si>
  <si>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</si>
  <si>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</si>
  <si>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</si>
  <si>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</si>
  <si>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</si>
  <si>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</si>
  <si>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</si>
  <si>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</si>
  <si>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</si>
  <si>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</si>
  <si>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</si>
  <si>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</si>
  <si>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</si>
  <si>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</si>
  <si>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</si>
  <si>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</si>
  <si>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</si>
  <si>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</si>
  <si>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</si>
  <si>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</si>
  <si>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</si>
  <si>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</si>
  <si>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</si>
  <si>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</si>
  <si>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</si>
  <si>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</si>
  <si>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</si>
  <si>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</si>
  <si>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</si>
  <si>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</si>
  <si>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</si>
  <si>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</si>
  <si>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</si>
  <si>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</si>
  <si>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</si>
  <si>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</si>
  <si>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</si>
  <si>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</si>
  <si>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</si>
  <si>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</si>
  <si>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</si>
  <si>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</si>
  <si>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</si>
  <si>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</si>
  <si>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</si>
  <si>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</si>
  <si>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</si>
  <si>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</si>
  <si>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</si>
  <si>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</si>
  <si>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</si>
  <si>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</si>
  <si>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</si>
  <si>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</si>
  <si>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</si>
  <si>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</si>
  <si>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</si>
  <si>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</si>
  <si>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</si>
  <si>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</si>
  <si>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</si>
  <si>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</si>
  <si>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</si>
  <si>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</si>
  <si>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</si>
  <si>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</si>
  <si>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</si>
  <si>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</si>
  <si>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</si>
  <si>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</si>
  <si>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</si>
  <si>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</si>
  <si>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</si>
  <si>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</si>
  <si>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</si>
  <si>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</si>
  <si>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</si>
  <si>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</si>
  <si>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</si>
  <si>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</si>
  <si>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</si>
  <si>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</si>
  <si>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</si>
  <si>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</si>
  <si>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</si>
  <si>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</si>
  <si>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</si>
  <si>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</si>
  <si>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</si>
  <si>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</si>
  <si>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</si>
  <si>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</si>
  <si>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</si>
  <si>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</si>
  <si>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</si>
  <si>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</si>
  <si>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</si>
  <si>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</si>
  <si>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</si>
  <si>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</si>
  <si>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</si>
  <si>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</si>
  <si>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</si>
  <si>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</si>
  <si>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</si>
  <si>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</si>
  <si>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</si>
  <si>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</si>
  <si>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</si>
  <si>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</si>
  <si>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</si>
  <si>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</si>
  <si>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</si>
  <si>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</si>
  <si>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</si>
  <si>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</si>
  <si>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</si>
  <si>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</si>
  <si>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</si>
  <si>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</si>
  <si>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</si>
  <si>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</si>
  <si>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</si>
  <si>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</si>
  <si>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</si>
  <si>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</si>
  <si>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</si>
  <si>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</si>
  <si>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</si>
  <si>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</si>
  <si>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</si>
  <si>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</si>
  <si>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</si>
  <si>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</si>
  <si>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</si>
  <si>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</si>
  <si>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</si>
  <si>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</si>
  <si>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</si>
  <si>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</si>
  <si>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</si>
  <si>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</si>
  <si>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</si>
  <si>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</si>
  <si>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</si>
  <si>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</si>
  <si>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</si>
  <si>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</si>
  <si>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</si>
  <si>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</si>
  <si>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</si>
  <si>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</si>
  <si>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</si>
  <si>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</si>
  <si>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</si>
  <si>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</si>
  <si>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</si>
  <si>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</si>
  <si>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</si>
  <si>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</si>
  <si>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</si>
  <si>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</si>
  <si>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</si>
  <si>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</si>
  <si>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</si>
  <si>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</si>
  <si>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</si>
  <si>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</si>
  <si>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</si>
  <si>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</si>
  <si>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</si>
  <si>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</si>
  <si>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</si>
  <si>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</si>
  <si>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</si>
  <si>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</si>
  <si>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</si>
  <si>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</si>
  <si>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</si>
  <si>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</si>
  <si>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</si>
  <si>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</si>
  <si>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</si>
  <si>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</si>
  <si>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</si>
  <si>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</si>
  <si>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</si>
  <si>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</si>
  <si>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</si>
  <si>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</si>
  <si>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</si>
  <si>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</si>
  <si>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</si>
  <si>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</si>
  <si>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</si>
  <si>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</si>
  <si>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</si>
  <si>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</si>
  <si>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</si>
  <si>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</si>
  <si>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</si>
  <si>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</si>
  <si>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</si>
  <si>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</si>
  <si>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</si>
  <si>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</si>
  <si>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</si>
  <si>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</si>
  <si>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</si>
  <si>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</si>
  <si>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</si>
  <si>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</si>
  <si>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</si>
  <si>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</si>
  <si>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</si>
  <si>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</si>
  <si>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</si>
  <si>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</si>
  <si>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</si>
  <si>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</si>
  <si>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</si>
  <si>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</si>
  <si>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</si>
  <si>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</si>
  <si>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</si>
  <si>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</si>
  <si>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</si>
  <si>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</si>
  <si>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</si>
  <si>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</si>
  <si>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</si>
  <si>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</si>
  <si>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</si>
  <si>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</si>
  <si>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</si>
  <si>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</si>
  <si>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</si>
  <si>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</si>
  <si>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</si>
  <si>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</si>
  <si>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</si>
  <si>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</si>
  <si>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</si>
  <si>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</si>
  <si>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</si>
  <si>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</si>
  <si>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</si>
  <si>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</si>
  <si>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</si>
  <si>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</si>
  <si>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</si>
  <si>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</si>
  <si>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</si>
  <si>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</si>
  <si>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</si>
  <si>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</si>
  <si>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</si>
  <si>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</si>
  <si>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</si>
  <si>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</si>
  <si>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</si>
  <si>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</si>
  <si>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</si>
  <si>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</si>
  <si>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</si>
  <si>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</si>
  <si>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</si>
  <si>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</si>
  <si>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</si>
  <si>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</si>
  <si>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</si>
  <si>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</si>
  <si>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</si>
  <si>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</si>
  <si>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</si>
  <si>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</si>
  <si>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</si>
  <si>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</si>
  <si>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</si>
  <si>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</si>
  <si>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</si>
  <si>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</si>
  <si>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</si>
  <si>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</si>
  <si>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</si>
  <si>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</si>
  <si>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</si>
  <si>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</si>
  <si>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</si>
  <si>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</si>
  <si>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</si>
  <si>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</si>
  <si>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</si>
  <si>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</si>
  <si>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</si>
  <si>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</si>
  <si>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</si>
  <si>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</si>
  <si>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</si>
  <si>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</si>
  <si>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</si>
  <si>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</si>
  <si>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</si>
  <si>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</si>
  <si>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</si>
  <si>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</si>
  <si>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</si>
  <si>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</si>
  <si>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</si>
  <si>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</si>
  <si>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</si>
  <si>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</si>
  <si>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</si>
  <si>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</si>
  <si>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</si>
  <si>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</si>
  <si>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</si>
  <si>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</si>
  <si>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</si>
  <si>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</si>
  <si>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</si>
  <si>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</si>
  <si>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</si>
  <si>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</si>
  <si>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</si>
  <si>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</si>
  <si>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</si>
  <si>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</si>
  <si>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</si>
  <si>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</si>
  <si>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</si>
  <si>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</si>
  <si>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</si>
  <si>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</si>
  <si>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</si>
  <si>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</si>
  <si>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</si>
  <si>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</si>
  <si>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</si>
  <si>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</si>
  <si>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</si>
  <si>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</si>
  <si>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</si>
  <si>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</si>
  <si>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</si>
  <si>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</si>
  <si>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</si>
  <si>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</si>
  <si>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</si>
  <si>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</si>
  <si>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</si>
  <si>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</si>
  <si>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</si>
  <si>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</si>
  <si>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</si>
  <si>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</si>
  <si>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</si>
  <si>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</si>
  <si>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</si>
  <si>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</si>
  <si>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</si>
  <si>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</si>
  <si>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</si>
  <si>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</si>
  <si>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</si>
  <si>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</si>
  <si>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</si>
  <si>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</si>
  <si>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</si>
  <si>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</si>
  <si>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</si>
  <si>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</si>
  <si>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</si>
  <si>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</si>
  <si>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</si>
  <si>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</si>
  <si>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</si>
  <si>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</si>
  <si>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</si>
  <si>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</si>
  <si>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</si>
  <si>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</si>
  <si>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</si>
  <si>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</si>
  <si>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</si>
  <si>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</si>
  <si>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</si>
  <si>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</si>
  <si>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</si>
  <si>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</si>
  <si>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</si>
  <si>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</si>
  <si>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</si>
  <si>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</si>
  <si>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</si>
  <si>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</si>
  <si>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</si>
  <si>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</si>
  <si>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</si>
  <si>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</si>
  <si>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</si>
  <si>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</si>
  <si>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</si>
  <si>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</si>
  <si>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</si>
  <si>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</si>
  <si>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</si>
  <si>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</si>
  <si>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</si>
  <si>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</si>
  <si>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</si>
  <si>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</si>
  <si>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</si>
  <si>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</si>
  <si>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</si>
  <si>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</si>
  <si>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</si>
  <si>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</si>
  <si>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</si>
  <si>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</si>
  <si>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</si>
  <si>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</si>
  <si>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</si>
  <si>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</si>
  <si>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</si>
  <si>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</si>
  <si>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</si>
  <si>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</si>
  <si>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</si>
  <si>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</si>
  <si>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</si>
  <si>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</si>
  <si>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</si>
  <si>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</si>
  <si>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</si>
  <si>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</si>
  <si>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</si>
  <si>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</si>
  <si>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</si>
  <si>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</si>
  <si>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</si>
  <si>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</si>
  <si>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</si>
  <si>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</si>
  <si>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</si>
  <si>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</si>
  <si>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</si>
  <si>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</si>
  <si>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</si>
  <si>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</si>
  <si>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</si>
  <si>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</si>
  <si>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</si>
  <si>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</si>
  <si>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</si>
  <si>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</si>
  <si>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</si>
  <si>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</si>
  <si>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</si>
  <si>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</si>
  <si>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</si>
  <si>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</si>
  <si>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</si>
  <si>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</si>
  <si>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</si>
  <si>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</si>
  <si>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</si>
  <si>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</si>
  <si>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</si>
  <si>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</si>
  <si>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</si>
  <si>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</si>
  <si>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</si>
  <si>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</si>
  <si>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</si>
  <si>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</si>
  <si>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</si>
  <si>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</si>
  <si>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</si>
  <si>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</si>
  <si>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</si>
  <si>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</si>
  <si>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</si>
  <si>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</si>
  <si>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</si>
  <si>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</si>
  <si>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</si>
  <si>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</si>
  <si>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</si>
  <si>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</si>
  <si>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</si>
  <si>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</si>
  <si>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</si>
  <si>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</si>
  <si>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</si>
  <si>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</si>
  <si>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</si>
  <si>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</si>
  <si>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</si>
  <si>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</si>
  <si>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</si>
  <si>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</si>
  <si>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</si>
  <si>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</si>
  <si>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</si>
  <si>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</si>
  <si>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</si>
  <si>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</si>
  <si>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</si>
  <si>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</si>
  <si>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</si>
  <si>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</si>
  <si>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</si>
  <si>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</si>
  <si>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</si>
  <si>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</si>
  <si>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</si>
  <si>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</si>
  <si>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</si>
  <si>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</si>
  <si>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</si>
  <si>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</si>
  <si>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</si>
  <si>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</si>
  <si>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</si>
  <si>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</si>
  <si>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</si>
  <si>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</si>
  <si>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</si>
  <si>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</si>
  <si>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</si>
  <si>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</si>
  <si>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</si>
  <si>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</si>
  <si>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</si>
  <si>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</si>
  <si>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</si>
  <si>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</si>
  <si>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</si>
  <si>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</si>
  <si>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</si>
  <si>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</si>
  <si>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</si>
  <si>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</si>
  <si>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</si>
  <si>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</si>
  <si>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</si>
  <si>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</si>
  <si>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</si>
  <si>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</si>
  <si>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</si>
  <si>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</si>
  <si>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</si>
  <si>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</si>
  <si>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</si>
  <si>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</si>
  <si>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</si>
  <si>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</si>
  <si>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</si>
  <si>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</si>
  <si>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</si>
  <si>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</si>
  <si>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</si>
  <si>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</si>
  <si>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</si>
  <si>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</si>
  <si>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</si>
  <si>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</si>
  <si>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</si>
  <si>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</si>
  <si>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</si>
  <si>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</si>
  <si>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</si>
  <si>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</si>
  <si>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</si>
  <si>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</si>
  <si>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</si>
  <si>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</si>
  <si>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</si>
  <si>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</si>
  <si>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</si>
  <si>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</si>
  <si>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</si>
  <si>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</si>
  <si>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</si>
  <si>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</si>
  <si>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</si>
  <si>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</si>
  <si>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</si>
  <si>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</si>
  <si>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</si>
  <si>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</si>
  <si>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</si>
  <si>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</si>
  <si>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</si>
  <si>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</si>
  <si>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</si>
  <si>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</si>
  <si>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</si>
  <si>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</si>
  <si>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</si>
  <si>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</si>
  <si>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</si>
  <si>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</si>
  <si>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</si>
  <si>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</si>
  <si>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</si>
  <si>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</si>
  <si>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</si>
  <si>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</si>
  <si>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</si>
  <si>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</si>
  <si>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</si>
  <si>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</si>
  <si>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</si>
  <si>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</si>
  <si>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</si>
  <si>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</si>
  <si>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</si>
  <si>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</si>
  <si>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</si>
  <si>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</si>
  <si>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</si>
  <si>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</si>
  <si>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</si>
  <si>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</si>
  <si>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</si>
  <si>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</si>
  <si>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</si>
  <si>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</si>
  <si>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</si>
  <si>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</si>
  <si>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</si>
  <si>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</si>
  <si>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</si>
  <si>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</si>
  <si>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</si>
  <si>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</si>
  <si>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</si>
  <si>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</si>
  <si>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</si>
  <si>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</si>
  <si>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</si>
  <si>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</si>
  <si>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</si>
  <si>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</si>
  <si>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</si>
  <si>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</si>
  <si>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</si>
  <si>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</si>
  <si>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</si>
  <si>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</si>
  <si>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</si>
  <si>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</si>
  <si>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</si>
  <si>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</si>
  <si>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</si>
  <si>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</si>
  <si>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</si>
  <si>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</si>
  <si>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</si>
  <si>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</si>
  <si>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</si>
  <si>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</si>
  <si>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</si>
  <si>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</si>
  <si>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</si>
  <si>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</si>
  <si>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</si>
  <si>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</si>
  <si>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</si>
  <si>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</si>
  <si>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</si>
  <si>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</si>
  <si>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</si>
  <si>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</si>
  <si>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</si>
  <si>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</si>
  <si>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</si>
  <si>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</si>
  <si>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</si>
  <si>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</si>
  <si>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</si>
  <si>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</si>
  <si>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</si>
  <si>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</si>
  <si>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</si>
  <si>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</si>
  <si>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</si>
  <si>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</si>
  <si>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</si>
  <si>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</si>
  <si>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</si>
  <si>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</si>
  <si>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</si>
  <si>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</si>
  <si>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</si>
  <si>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</si>
  <si>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</si>
  <si>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</si>
  <si>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</si>
  <si>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</si>
  <si>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</si>
  <si>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</si>
  <si>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</si>
  <si>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</si>
  <si>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</si>
  <si>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</si>
  <si>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</si>
  <si>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</si>
  <si>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</si>
  <si>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</si>
  <si>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</si>
  <si>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</si>
  <si>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</si>
  <si>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</si>
  <si>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</si>
  <si>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</si>
  <si>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</si>
  <si>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</si>
  <si>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</si>
  <si>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</si>
  <si>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</si>
  <si>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</si>
  <si>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</si>
  <si>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</si>
  <si>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</si>
  <si>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</si>
  <si>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</si>
  <si>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</si>
  <si>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</si>
  <si>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</si>
  <si>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</si>
  <si>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</si>
  <si>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</si>
  <si>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</si>
  <si>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</si>
  <si>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</si>
  <si>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</si>
  <si>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</si>
  <si>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</si>
  <si>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</si>
  <si>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</si>
  <si>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</si>
  <si>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</si>
  <si>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</si>
  <si>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</si>
  <si>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</si>
  <si>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</si>
  <si>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</si>
  <si>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</si>
  <si>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</si>
  <si>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</si>
  <si>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</si>
  <si>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</si>
  <si>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</si>
  <si>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</si>
  <si>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</si>
  <si>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</si>
  <si>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</si>
  <si>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</si>
  <si>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</si>
  <si>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</si>
  <si>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</si>
  <si>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</si>
  <si>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</si>
  <si>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</si>
  <si>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</si>
  <si>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</si>
  <si>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</si>
  <si>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</si>
  <si>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</si>
  <si>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</si>
  <si>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</si>
  <si>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</si>
  <si>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</si>
  <si>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</si>
  <si>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</si>
  <si>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</si>
  <si>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</si>
  <si>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</si>
  <si>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</si>
  <si>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</si>
  <si>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</si>
  <si>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</si>
  <si>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</si>
  <si>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</si>
  <si>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</si>
  <si>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</si>
  <si>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</si>
  <si>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</si>
  <si>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</si>
  <si>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</si>
  <si>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</si>
  <si>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</si>
  <si>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</si>
  <si>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</si>
  <si>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</si>
  <si>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</si>
  <si>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</si>
  <si>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</si>
  <si>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</si>
  <si>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</si>
  <si>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</si>
  <si>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</si>
  <si>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</si>
  <si>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</si>
  <si>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</si>
  <si>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</si>
  <si>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</si>
  <si>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</si>
  <si>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</si>
  <si>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</si>
  <si>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</si>
  <si>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</si>
  <si>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</si>
  <si>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</si>
  <si>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</si>
  <si>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</si>
  <si>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</si>
  <si>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</si>
  <si>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</si>
  <si>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</si>
  <si>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</si>
  <si>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</si>
  <si>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</si>
  <si>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</si>
  <si>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</si>
  <si>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</si>
  <si>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</si>
  <si>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</si>
  <si>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</si>
  <si>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</si>
  <si>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</si>
  <si>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</si>
  <si>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</si>
  <si>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</si>
  <si>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</si>
  <si>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</si>
  <si>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</si>
  <si>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</si>
  <si>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</si>
  <si>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</si>
  <si>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</si>
  <si>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</si>
  <si>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</si>
  <si>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</si>
  <si>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</si>
  <si>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</si>
  <si>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</si>
  <si>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</si>
  <si>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</si>
  <si>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</si>
  <si>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</si>
  <si>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</si>
  <si>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</si>
  <si>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</si>
  <si>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</si>
  <si>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</si>
  <si>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</si>
  <si>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</si>
  <si>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</si>
  <si>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</si>
  <si>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</si>
  <si>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</si>
  <si>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</si>
  <si>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</si>
  <si>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</si>
  <si>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</si>
  <si>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</si>
  <si>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</si>
  <si>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</si>
  <si>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</si>
  <si>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</si>
  <si>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</si>
  <si>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</si>
  <si>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</si>
  <si>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</si>
  <si>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</si>
  <si>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</si>
  <si>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</si>
  <si>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</si>
  <si>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</si>
  <si>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</si>
  <si>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</si>
  <si>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</si>
  <si>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</si>
  <si>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</si>
  <si>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</si>
  <si>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</si>
  <si>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</si>
  <si>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</si>
  <si>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</si>
  <si>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</si>
  <si>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</si>
  <si>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</si>
  <si>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</si>
  <si>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</si>
  <si>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</si>
  <si>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</si>
  <si>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</si>
  <si>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</si>
  <si>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</si>
  <si>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</si>
  <si>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</si>
  <si>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</si>
  <si>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</si>
  <si>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</si>
  <si>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</si>
  <si>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</si>
  <si>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</si>
  <si>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</si>
  <si>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</si>
  <si>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</si>
  <si>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</si>
  <si>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</si>
  <si>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</si>
  <si>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</si>
  <si>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</si>
  <si>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</si>
  <si>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</si>
  <si>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</si>
  <si>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</si>
  <si>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</si>
  <si>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</si>
  <si>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</si>
  <si>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</si>
  <si>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</si>
  <si>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</si>
  <si>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</si>
  <si>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</si>
  <si>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</si>
  <si>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</si>
  <si>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</si>
  <si>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</si>
  <si>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</si>
  <si>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</si>
  <si>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</si>
  <si>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</si>
  <si>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</si>
  <si>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</si>
  <si>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</si>
  <si>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</si>
  <si>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</si>
  <si>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</si>
  <si>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</si>
  <si>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</si>
  <si>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</si>
  <si>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</si>
  <si>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</si>
  <si>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</si>
  <si>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</si>
  <si>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</si>
  <si>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</si>
  <si>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</si>
  <si>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</si>
  <si>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</si>
  <si>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</si>
  <si>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</si>
  <si>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</si>
  <si>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</si>
  <si>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</si>
  <si>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</si>
  <si>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</si>
  <si>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</si>
  <si>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</si>
  <si>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</si>
  <si>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</si>
  <si>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</si>
  <si>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</si>
  <si>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</si>
  <si>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</si>
  <si>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</si>
  <si>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</si>
  <si>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</si>
  <si>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</si>
  <si>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</si>
  <si>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</si>
  <si>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</si>
  <si>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</si>
  <si>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</si>
  <si>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</si>
  <si>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</si>
  <si>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</si>
  <si>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</si>
  <si>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</si>
  <si>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</si>
  <si>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</si>
  <si>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</si>
  <si>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</si>
  <si>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</si>
  <si>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</si>
  <si>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</si>
  <si>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</si>
  <si>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</si>
  <si>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</si>
  <si>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</si>
  <si>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</si>
  <si>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</si>
  <si>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</si>
  <si>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</si>
  <si>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</si>
  <si>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</si>
  <si>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</si>
  <si>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</si>
  <si>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</si>
  <si>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</si>
  <si>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</si>
  <si>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</si>
  <si>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</si>
  <si>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</si>
  <si>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</si>
  <si>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</si>
  <si>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</si>
  <si>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</si>
  <si>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</si>
  <si>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</si>
  <si>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</si>
  <si>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</si>
  <si>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</si>
  <si>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</si>
  <si>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</si>
  <si>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</si>
  <si>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</si>
  <si>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</si>
  <si>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</si>
  <si>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</si>
  <si>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</si>
  <si>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</si>
  <si>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</si>
  <si>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</si>
  <si>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</si>
  <si>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</si>
  <si>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</si>
  <si>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</si>
  <si>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</si>
  <si>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</si>
  <si>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</si>
  <si>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</si>
  <si>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</si>
  <si>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</si>
  <si>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</si>
  <si>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</si>
  <si>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</si>
  <si>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</si>
  <si>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</si>
  <si>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</si>
  <si>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</si>
  <si>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</si>
  <si>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</si>
  <si>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</si>
  <si>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</si>
  <si>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</si>
  <si>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</si>
  <si>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</si>
  <si>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</si>
  <si>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</si>
  <si>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</si>
  <si>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</si>
  <si>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</si>
  <si>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</si>
  <si>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</si>
  <si>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</si>
  <si>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</si>
  <si>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</si>
  <si>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</si>
  <si>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</si>
  <si>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</si>
  <si>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</si>
  <si>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</si>
  <si>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</si>
  <si>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</si>
  <si>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</si>
  <si>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</si>
  <si>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</si>
  <si>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</si>
  <si>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</si>
  <si>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</si>
  <si>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</si>
  <si>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</si>
  <si>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</si>
  <si>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</si>
  <si>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</si>
  <si>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</si>
  <si>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</si>
  <si>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</si>
  <si>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</si>
  <si>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</si>
  <si>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</si>
  <si>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</si>
  <si>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</si>
  <si>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</si>
  <si>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</si>
  <si>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</si>
  <si>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</si>
  <si>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</si>
  <si>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</si>
  <si>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</si>
  <si>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</si>
  <si>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</si>
  <si>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</si>
  <si>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</si>
  <si>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</si>
  <si>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</si>
  <si>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</si>
  <si>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</si>
  <si>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</si>
  <si>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</si>
  <si>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</si>
  <si>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</si>
  <si>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</si>
  <si>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</si>
  <si>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</si>
  <si>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</si>
  <si>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</si>
  <si>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</si>
  <si>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</si>
  <si>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</si>
  <si>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</si>
  <si>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</si>
  <si>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</si>
  <si>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</si>
  <si>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</si>
  <si>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</si>
  <si>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</si>
  <si>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</si>
  <si>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</si>
  <si>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</si>
  <si>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</si>
  <si>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</si>
  <si>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</si>
  <si>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</si>
  <si>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</si>
  <si>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</si>
  <si>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</si>
  <si>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</si>
  <si>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</si>
  <si>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</si>
  <si>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</si>
  <si>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</si>
  <si>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</si>
  <si>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</si>
  <si>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</si>
  <si>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</si>
  <si>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</si>
  <si>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</si>
  <si>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</si>
  <si>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</si>
  <si>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</si>
  <si>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</si>
  <si>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</si>
  <si>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</si>
  <si>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</si>
  <si>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</si>
  <si>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</si>
  <si>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</si>
  <si>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</si>
  <si>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</si>
  <si>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</si>
  <si>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</si>
  <si>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</si>
  <si>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</si>
  <si>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</si>
  <si>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</si>
  <si>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</si>
  <si>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</si>
  <si>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</si>
  <si>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</si>
  <si>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</si>
  <si>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</si>
  <si>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</si>
  <si>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</si>
  <si>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</si>
  <si>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</si>
  <si>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</si>
  <si>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</si>
  <si>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</si>
  <si>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</si>
  <si>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</si>
  <si>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</si>
  <si>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</si>
  <si>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</si>
  <si>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</si>
  <si>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</si>
  <si>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</si>
  <si>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</si>
  <si>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</si>
  <si>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</si>
  <si>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</si>
  <si>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</si>
  <si>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</si>
  <si>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</si>
  <si>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</si>
  <si>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</si>
  <si>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</si>
  <si>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</si>
  <si>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</si>
  <si>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</si>
  <si>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</si>
  <si>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</si>
  <si>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</si>
  <si>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</si>
  <si>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</si>
  <si>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</si>
  <si>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</si>
  <si>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</si>
  <si>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</si>
  <si>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</si>
  <si>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</si>
  <si>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</si>
  <si>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</si>
  <si>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</si>
  <si>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</si>
  <si>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</si>
  <si>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</si>
  <si>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</si>
  <si>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</si>
  <si>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</si>
  <si>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</si>
  <si>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</si>
  <si>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</si>
  <si>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</si>
  <si>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</si>
  <si>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</si>
  <si>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</si>
  <si>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</si>
  <si>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</si>
  <si>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</si>
  <si>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</si>
  <si>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</si>
  <si>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</si>
  <si>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</si>
  <si>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</si>
  <si>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</si>
  <si>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</si>
  <si>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</si>
  <si>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</si>
  <si>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</si>
  <si>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</si>
  <si>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</si>
  <si>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</si>
  <si>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</si>
  <si>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</si>
  <si>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</si>
  <si>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</si>
  <si>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</si>
  <si>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</si>
  <si>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</si>
  <si>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</si>
  <si>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</si>
  <si>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</si>
  <si>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</si>
  <si>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</si>
  <si>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</si>
  <si>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</si>
  <si>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</si>
  <si>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</si>
  <si>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</si>
  <si>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</si>
  <si>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</si>
  <si>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</si>
  <si>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</si>
  <si>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</si>
  <si>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</si>
  <si>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</si>
  <si>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</si>
  <si>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</si>
  <si>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</si>
  <si>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</si>
  <si>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</si>
  <si>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</si>
  <si>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</si>
  <si>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</si>
  <si>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</si>
  <si>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</si>
  <si>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</si>
  <si>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</si>
  <si>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</si>
  <si>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</si>
  <si>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</si>
  <si>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</si>
  <si>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</si>
  <si>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</si>
  <si>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</si>
  <si>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</si>
  <si>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</si>
  <si>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</si>
  <si>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</si>
  <si>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</si>
  <si>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</si>
  <si>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</si>
  <si>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</si>
  <si>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</si>
  <si>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</si>
  <si>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</si>
  <si>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</si>
  <si>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</si>
  <si>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</si>
  <si>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</si>
  <si>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</si>
  <si>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</si>
  <si>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</si>
  <si>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</si>
  <si>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</si>
  <si>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</si>
  <si>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</si>
  <si>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</si>
  <si>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</si>
  <si>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</si>
  <si>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</si>
  <si>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</si>
  <si>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</si>
  <si>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</si>
  <si>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</si>
  <si>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</si>
  <si>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</si>
  <si>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</si>
  <si>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</si>
  <si>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</si>
  <si>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</si>
  <si>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</si>
  <si>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</si>
  <si>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</si>
  <si>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</si>
  <si>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</si>
  <si>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</si>
  <si>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</si>
  <si>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</si>
  <si>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</si>
  <si>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</si>
  <si>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</si>
  <si>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</si>
  <si>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</si>
  <si>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</si>
  <si>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</si>
  <si>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</si>
  <si>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</si>
  <si>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</si>
  <si>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</si>
  <si>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</si>
  <si>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</si>
  <si>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</si>
  <si>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</si>
  <si>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</si>
  <si>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</si>
  <si>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</si>
  <si>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</si>
  <si>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</si>
  <si>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</si>
  <si>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</si>
  <si>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</si>
  <si>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</si>
  <si>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</si>
  <si>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</si>
  <si>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</si>
  <si>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</si>
  <si>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</si>
  <si>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</si>
  <si>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</si>
  <si>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</si>
  <si>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</si>
  <si>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</si>
  <si>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</si>
  <si>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</si>
  <si>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</si>
  <si>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</si>
  <si>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</si>
  <si>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</si>
  <si>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</si>
  <si>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</si>
  <si>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</si>
  <si>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</si>
  <si>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</si>
  <si>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</si>
  <si>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</si>
  <si>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</si>
  <si>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</si>
  <si>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</si>
  <si>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</si>
  <si>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</si>
  <si>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</si>
  <si>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</si>
  <si>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</si>
  <si>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</si>
  <si>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</si>
  <si>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</si>
  <si>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</si>
  <si>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</si>
  <si>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</si>
  <si>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</si>
  <si>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</si>
  <si>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</si>
  <si>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</si>
  <si>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</si>
  <si>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</si>
  <si>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</si>
  <si>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</si>
  <si>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</si>
  <si>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</si>
  <si>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</si>
  <si>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</si>
  <si>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</si>
  <si>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</si>
  <si>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</si>
  <si>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</si>
  <si>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</si>
  <si>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</si>
  <si>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</si>
  <si>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</si>
  <si>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</si>
  <si>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</si>
  <si>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</si>
  <si>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</si>
  <si>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</si>
  <si>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</si>
  <si>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</si>
  <si>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</si>
  <si>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</si>
  <si>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</si>
  <si>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</si>
  <si>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</si>
  <si>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</si>
  <si>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</si>
  <si>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</si>
  <si>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</si>
  <si>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</si>
  <si>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</si>
  <si>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</si>
  <si>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</si>
  <si>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</si>
  <si>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</si>
  <si>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</si>
  <si>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</si>
  <si>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</si>
  <si>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</si>
  <si>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</si>
  <si>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</si>
  <si>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</si>
  <si>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</si>
  <si>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</si>
  <si>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</si>
  <si>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</si>
  <si>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</si>
  <si>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</si>
  <si>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</si>
  <si>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</si>
  <si>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</si>
  <si>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</si>
  <si>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</si>
  <si>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</si>
  <si>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</si>
  <si>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</si>
  <si>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</si>
  <si>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</si>
  <si>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</si>
  <si>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</si>
  <si>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</si>
  <si>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</si>
  <si>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</si>
  <si>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</si>
  <si>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</si>
  <si>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</si>
  <si>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</si>
  <si>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</si>
  <si>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</si>
  <si>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</si>
  <si>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</si>
  <si>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</si>
  <si>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</si>
  <si>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</si>
  <si>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</si>
  <si>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</si>
  <si>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</si>
  <si>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</si>
  <si>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</si>
  <si>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</si>
  <si>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</si>
  <si>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</si>
  <si>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</si>
  <si>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</si>
  <si>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</si>
  <si>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</si>
  <si>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</si>
  <si>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</si>
  <si>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</si>
  <si>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</si>
  <si>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</si>
  <si>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</si>
  <si>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</si>
  <si>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</si>
  <si>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</si>
  <si>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</si>
  <si>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</si>
  <si>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</si>
  <si>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</si>
  <si>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</si>
  <si>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</si>
  <si>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</si>
  <si>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</si>
  <si>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</si>
  <si>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</si>
  <si>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</si>
  <si>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</si>
  <si>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</si>
  <si>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</si>
  <si>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</si>
  <si>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</si>
  <si>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</si>
  <si>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</si>
  <si>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</si>
  <si>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</si>
  <si>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</si>
  <si>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</si>
  <si>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</si>
  <si>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</si>
  <si>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</si>
  <si>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</si>
  <si>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</si>
  <si>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</si>
  <si>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</si>
  <si>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</si>
  <si>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</si>
  <si>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</si>
  <si>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</si>
  <si>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</si>
  <si>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</si>
  <si>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</si>
  <si>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</si>
  <si>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</si>
  <si>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</si>
  <si>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</si>
  <si>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</si>
  <si>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</si>
  <si>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</si>
  <si>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</si>
  <si>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</si>
  <si>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</si>
  <si>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</si>
  <si>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</si>
  <si>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</si>
  <si>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</si>
  <si>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</si>
  <si>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</si>
  <si>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</si>
  <si>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</si>
  <si>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</si>
  <si>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</si>
  <si>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</si>
  <si>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</si>
  <si>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</si>
  <si>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</si>
  <si>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</si>
  <si>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</si>
  <si>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</si>
  <si>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</si>
  <si>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</si>
  <si>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</si>
  <si>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</si>
  <si>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</si>
  <si>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</si>
  <si>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</si>
  <si>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</si>
  <si>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</si>
  <si>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</si>
  <si>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</si>
  <si>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</si>
  <si>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</si>
  <si>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</si>
  <si>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</si>
  <si>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</si>
  <si>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</si>
  <si>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</si>
  <si>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</si>
  <si>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</si>
  <si>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</si>
  <si>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</si>
  <si>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</si>
  <si>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</si>
  <si>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</si>
  <si>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</si>
  <si>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</si>
  <si>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</si>
  <si>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</si>
  <si>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</si>
  <si>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</si>
  <si>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</si>
  <si>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</si>
  <si>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</si>
  <si>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</si>
  <si>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</si>
  <si>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</si>
  <si>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</si>
  <si>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</si>
  <si>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</si>
  <si>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</si>
  <si>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</si>
  <si>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</si>
  <si>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</si>
  <si>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</si>
  <si>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</si>
  <si>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</si>
  <si>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</si>
  <si>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</si>
  <si>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</si>
  <si>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</si>
  <si>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</si>
  <si>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</si>
  <si>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</si>
  <si>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</si>
  <si>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</si>
  <si>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</si>
  <si>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</si>
  <si>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</si>
  <si>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</si>
  <si>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</si>
  <si>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</si>
  <si>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</si>
  <si>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</si>
  <si>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</si>
  <si>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</si>
  <si>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</si>
  <si>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</si>
  <si>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</si>
  <si>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</si>
  <si>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</si>
  <si>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</si>
  <si>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</si>
  <si>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</si>
  <si>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</si>
  <si>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</si>
  <si>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</si>
  <si>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</si>
  <si>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</si>
  <si>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</si>
  <si>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</si>
  <si>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</si>
  <si>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</si>
  <si>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</si>
  <si>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</si>
  <si>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</si>
  <si>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</si>
  <si>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</si>
  <si>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</si>
  <si>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</si>
  <si>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</si>
  <si>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</si>
  <si>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</si>
  <si>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</si>
  <si>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</si>
  <si>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</si>
  <si>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</si>
  <si>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</si>
  <si>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</si>
  <si>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</si>
  <si>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</si>
  <si>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</si>
  <si>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</si>
  <si>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</si>
  <si>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</si>
  <si>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</si>
  <si>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</si>
  <si>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</si>
  <si>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</si>
  <si>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</si>
  <si>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</si>
  <si>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</si>
  <si>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</si>
  <si>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</si>
  <si>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</si>
  <si>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</si>
  <si>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</si>
  <si>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</si>
  <si>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</si>
  <si>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</si>
  <si>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</si>
  <si>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</si>
  <si>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</si>
  <si>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</si>
  <si>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</si>
  <si>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</si>
  <si>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</si>
  <si>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</si>
  <si>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</si>
  <si>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</si>
  <si>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</si>
  <si>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</si>
  <si>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</si>
  <si>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</si>
  <si>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</si>
  <si>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</si>
  <si>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</si>
  <si>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</si>
  <si>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</si>
  <si>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</si>
  <si>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</si>
  <si>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</si>
  <si>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</si>
  <si>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</si>
  <si>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</si>
  <si>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</si>
  <si>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</si>
  <si>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</si>
  <si>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</si>
  <si>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</si>
  <si>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</si>
  <si>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</si>
  <si>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</si>
  <si>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</si>
  <si>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</si>
  <si>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</si>
  <si>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</si>
  <si>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</si>
  <si>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</si>
  <si>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</si>
  <si>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</si>
  <si>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</si>
  <si>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</si>
  <si>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</si>
  <si>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</si>
  <si>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</si>
  <si>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</si>
  <si>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</si>
  <si>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</si>
  <si>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</si>
  <si>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</si>
  <si>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</si>
  <si>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</si>
  <si>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</si>
  <si>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</si>
  <si>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</si>
  <si>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</si>
  <si>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</si>
  <si>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</si>
  <si>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</si>
  <si>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</si>
  <si>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</si>
  <si>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</si>
  <si>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</si>
  <si>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</si>
  <si>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</si>
  <si>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</si>
  <si>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</si>
  <si>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</si>
  <si>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</si>
  <si>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</si>
  <si>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</si>
  <si>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</si>
  <si>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</si>
  <si>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</si>
  <si>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</si>
  <si>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</si>
  <si>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</si>
  <si>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</si>
  <si>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</si>
  <si>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</si>
  <si>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</si>
  <si>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</si>
  <si>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</si>
  <si>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</si>
  <si>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</si>
  <si>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</si>
  <si>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</si>
  <si>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</si>
  <si>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</si>
  <si>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</si>
  <si>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</si>
  <si>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</si>
  <si>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</si>
  <si>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</si>
  <si>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</si>
  <si>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</si>
  <si>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</si>
  <si>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</si>
  <si>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</si>
  <si>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</si>
  <si>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</si>
  <si>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</si>
  <si>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</si>
  <si>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</si>
  <si>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</si>
  <si>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</si>
  <si>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</si>
  <si>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</si>
  <si>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</si>
  <si>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</si>
  <si>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</si>
  <si>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</si>
  <si>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</si>
  <si>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</si>
  <si>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</si>
  <si>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</si>
  <si>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</si>
  <si>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</si>
  <si>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</si>
  <si>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</si>
  <si>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</si>
  <si>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</si>
  <si>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</si>
  <si>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</si>
  <si>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</si>
  <si>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</si>
  <si>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</si>
  <si>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</si>
  <si>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</si>
  <si>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</si>
  <si>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</si>
  <si>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</si>
  <si>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</si>
  <si>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</si>
  <si>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</si>
  <si>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</si>
  <si>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</si>
  <si>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</si>
  <si>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</si>
  <si>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</si>
  <si>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</si>
  <si>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</si>
  <si>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</si>
  <si>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</si>
  <si>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</si>
  <si>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</si>
  <si>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</si>
  <si>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</si>
  <si>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</si>
  <si>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</si>
  <si>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</si>
  <si>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</si>
  <si>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</si>
  <si>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</si>
  <si>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</si>
  <si>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</si>
  <si>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</si>
  <si>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</si>
  <si>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</si>
  <si>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</si>
  <si>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</si>
  <si>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</si>
  <si>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</si>
  <si>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</si>
  <si>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</si>
  <si>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</si>
  <si>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</si>
  <si>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</si>
  <si>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</si>
  <si>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</si>
  <si>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</si>
  <si>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</si>
  <si>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</si>
  <si>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</si>
  <si>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</si>
  <si>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</si>
  <si>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</si>
  <si>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</si>
  <si>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</si>
  <si>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</si>
  <si>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</si>
  <si>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</si>
  <si>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</si>
  <si>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</si>
  <si>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</si>
  <si>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</si>
  <si>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</si>
  <si>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</si>
  <si>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</si>
  <si>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</si>
  <si>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</si>
  <si>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</si>
  <si>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</si>
  <si>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</si>
  <si>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</si>
  <si>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</si>
  <si>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</si>
  <si>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</si>
  <si>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</si>
  <si>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</si>
  <si>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</si>
  <si>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</si>
  <si>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</si>
  <si>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</si>
  <si>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</si>
  <si>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</si>
  <si>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</si>
  <si>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</si>
  <si>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</si>
  <si>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</si>
  <si>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</si>
  <si>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</si>
  <si>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</si>
  <si>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</si>
  <si>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</si>
  <si>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</si>
  <si>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</si>
  <si>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</si>
  <si>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</si>
  <si>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</si>
  <si>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</si>
  <si>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</si>
  <si>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</si>
  <si>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</si>
  <si>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</si>
  <si>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</si>
  <si>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</si>
  <si>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</si>
  <si>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</si>
  <si>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</si>
  <si>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</si>
  <si>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</si>
  <si>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</si>
  <si>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</si>
  <si>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</si>
  <si>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</si>
  <si>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</si>
  <si>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</si>
  <si>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</si>
  <si>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</si>
  <si>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</si>
  <si>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</si>
  <si>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</si>
  <si>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</si>
  <si>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</si>
  <si>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</si>
  <si>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</si>
  <si>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</si>
  <si>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</si>
  <si>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</si>
  <si>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</si>
  <si>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</si>
  <si>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</si>
  <si>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</si>
  <si>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</si>
  <si>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</si>
  <si>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</si>
  <si>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</si>
  <si>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</si>
  <si>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</si>
  <si>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</si>
  <si>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</si>
  <si>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</si>
  <si>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</si>
  <si>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</si>
  <si>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</si>
  <si>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</si>
  <si>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</si>
  <si>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</si>
  <si>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</si>
  <si>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</si>
  <si>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</si>
  <si>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</si>
  <si>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</si>
  <si>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</si>
  <si>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</si>
  <si>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</si>
  <si>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</si>
  <si>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</si>
  <si>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</si>
  <si>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</si>
  <si>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</si>
  <si>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</si>
  <si>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</si>
  <si>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</si>
  <si>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</si>
  <si>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</si>
  <si>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</si>
  <si>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</si>
  <si>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</si>
  <si>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</si>
  <si>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</si>
  <si>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</si>
  <si>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</si>
  <si>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</si>
  <si>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</si>
  <si>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</si>
  <si>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</si>
  <si>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</si>
  <si>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</si>
  <si>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</si>
  <si>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</si>
  <si>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</si>
  <si>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</si>
  <si>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</si>
  <si>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</si>
  <si>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</si>
  <si>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</si>
  <si>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</si>
  <si>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</si>
  <si>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</si>
  <si>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</si>
  <si>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</si>
  <si>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</si>
  <si>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</si>
  <si>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</si>
  <si>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</si>
  <si>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</si>
  <si>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</si>
  <si>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</si>
  <si>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</si>
  <si>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</si>
  <si>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</si>
  <si>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</si>
  <si>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</si>
  <si>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</si>
  <si>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</si>
  <si>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</si>
  <si>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</si>
  <si>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</si>
  <si>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</si>
  <si>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</si>
  <si>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</si>
  <si>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</si>
  <si>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</si>
  <si>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</si>
  <si>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</si>
  <si>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</si>
  <si>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</si>
  <si>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</si>
  <si>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</si>
  <si>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</si>
  <si>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</si>
  <si>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</si>
  <si>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</si>
  <si>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</si>
  <si>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</si>
  <si>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</si>
  <si>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</si>
  <si>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</si>
  <si>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</si>
  <si>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</si>
  <si>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</si>
  <si>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</si>
  <si>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</si>
  <si>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</si>
  <si>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</si>
  <si>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</si>
  <si>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</si>
  <si>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</si>
  <si>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</si>
  <si>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</si>
  <si>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</si>
  <si>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</si>
  <si>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</si>
  <si>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</si>
  <si>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</si>
  <si>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</si>
  <si>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</si>
  <si>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</si>
  <si>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</si>
  <si>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</si>
  <si>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</si>
  <si>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</si>
  <si>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</si>
  <si>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</si>
  <si>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</si>
  <si>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</si>
  <si>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</si>
  <si>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</si>
  <si>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</si>
  <si>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</si>
  <si>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</si>
  <si>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</si>
  <si>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</si>
  <si>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</si>
  <si>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</si>
  <si>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</si>
  <si>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</si>
  <si>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</si>
  <si>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</si>
  <si>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</si>
  <si>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</si>
  <si>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</si>
  <si>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</si>
  <si>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</si>
  <si>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</si>
  <si>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</si>
  <si>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</si>
  <si>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</si>
  <si>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</si>
  <si>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</si>
  <si>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</si>
  <si>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</si>
  <si>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</si>
  <si>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</si>
  <si>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</si>
  <si>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</si>
  <si>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</si>
  <si>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</si>
  <si>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</si>
  <si>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</si>
  <si>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</si>
  <si>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</si>
  <si>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</si>
  <si>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</si>
  <si>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</si>
  <si>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</si>
  <si>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</si>
  <si>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</si>
  <si>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</si>
  <si>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</si>
  <si>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</si>
  <si>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</si>
  <si>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</si>
  <si>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</si>
  <si>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</si>
  <si>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</si>
  <si>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</si>
  <si>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</si>
  <si>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</si>
  <si>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</si>
  <si>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</si>
  <si>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</si>
  <si>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</si>
  <si>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</si>
  <si>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</si>
  <si>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</si>
  <si>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</si>
  <si>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</si>
  <si>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</si>
  <si>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</si>
  <si>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</si>
  <si>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</si>
  <si>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</si>
  <si>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</si>
  <si>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</si>
  <si>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</si>
  <si>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</si>
  <si>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</si>
  <si>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</si>
  <si>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</si>
  <si>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</si>
  <si>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</si>
  <si>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</si>
  <si>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</si>
  <si>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</si>
  <si>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</si>
  <si>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</si>
  <si>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</si>
  <si>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</si>
  <si>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</si>
  <si>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</si>
  <si>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</si>
  <si>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</si>
  <si>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</si>
  <si>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</si>
  <si>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</si>
  <si>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</si>
  <si>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</si>
  <si>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</si>
  <si>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</si>
  <si>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</si>
  <si>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</si>
  <si>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</si>
  <si>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</si>
  <si>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</si>
  <si>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</si>
  <si>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</si>
  <si>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</si>
  <si>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</si>
  <si>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</si>
  <si>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</si>
  <si>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</si>
  <si>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</si>
  <si>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</si>
  <si>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</si>
  <si>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</si>
  <si>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</si>
  <si>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</si>
  <si>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</si>
  <si>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</si>
  <si>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</si>
  <si>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</si>
  <si>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</si>
  <si>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</si>
  <si>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</si>
  <si>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</si>
  <si>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</si>
  <si>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</si>
  <si>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</si>
  <si>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</si>
  <si>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</si>
  <si>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</si>
  <si>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</si>
  <si>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</si>
  <si>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</si>
  <si>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</si>
  <si>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</si>
  <si>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</si>
  <si>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</si>
  <si>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</si>
  <si>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</si>
  <si>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</si>
  <si>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</si>
  <si>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</si>
  <si>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</si>
  <si>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</si>
  <si>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</si>
  <si>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</si>
  <si>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</si>
  <si>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</si>
  <si>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</si>
  <si>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</si>
  <si>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</si>
  <si>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</si>
  <si>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</si>
  <si>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</si>
  <si>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</si>
  <si>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</si>
  <si>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</si>
  <si>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</si>
  <si>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</si>
  <si>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</si>
  <si>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</si>
  <si>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</si>
  <si>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</si>
  <si>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</si>
  <si>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</si>
  <si>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</si>
  <si>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</si>
  <si>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</si>
  <si>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</si>
  <si>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</si>
  <si>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</si>
  <si>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</si>
  <si>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</si>
  <si>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</si>
  <si>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</si>
  <si>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</si>
  <si>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</si>
  <si>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</si>
  <si>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</si>
  <si>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</si>
  <si>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</si>
  <si>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</si>
  <si>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</si>
  <si>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</si>
  <si>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</si>
  <si>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</si>
  <si>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</si>
  <si>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</si>
  <si>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</si>
  <si>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</si>
  <si>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</si>
  <si>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</si>
  <si>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</si>
  <si>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</si>
  <si>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</si>
  <si>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</si>
  <si>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</si>
  <si>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</si>
  <si>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</si>
  <si>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</si>
  <si>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</si>
  <si>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</si>
  <si>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</si>
  <si>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</si>
  <si>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</si>
  <si>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</si>
  <si>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</si>
  <si>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</si>
  <si>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</si>
  <si>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</si>
  <si>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</si>
  <si>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</si>
  <si>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</si>
  <si>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</si>
  <si>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</si>
  <si>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</si>
  <si>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</si>
  <si>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</si>
  <si>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</si>
  <si>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</si>
  <si>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</si>
  <si>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</si>
  <si>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</si>
  <si>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</si>
  <si>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</si>
  <si>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</si>
  <si>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</si>
  <si>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</si>
  <si>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</si>
  <si>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</si>
  <si>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</si>
  <si>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</si>
  <si>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</si>
  <si>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</si>
  <si>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</si>
  <si>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</si>
  <si>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</si>
  <si>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</si>
  <si>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</si>
  <si>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</si>
  <si>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</si>
  <si>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</si>
  <si>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</si>
  <si>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</si>
  <si>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</si>
  <si>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</si>
  <si>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</si>
  <si>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</si>
  <si>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</si>
  <si>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</si>
  <si>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</si>
  <si>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</si>
  <si>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</si>
  <si>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</si>
  <si>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</si>
  <si>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</si>
  <si>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</si>
  <si>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</si>
  <si>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</si>
  <si>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</si>
  <si>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</si>
  <si>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</si>
  <si>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</si>
  <si>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</si>
  <si>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</si>
  <si>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</si>
  <si>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</si>
  <si>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</si>
  <si>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</si>
  <si>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</si>
  <si>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</si>
  <si>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</si>
  <si>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</si>
  <si>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</si>
  <si>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</si>
  <si>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</si>
  <si>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</si>
  <si>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</si>
  <si>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</si>
  <si>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</si>
  <si>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</si>
  <si>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</si>
  <si>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</si>
  <si>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</si>
  <si>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</si>
  <si>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</si>
  <si>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</si>
  <si>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</si>
  <si>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</si>
  <si>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</si>
  <si>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</si>
  <si>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</si>
  <si>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</si>
  <si>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</si>
  <si>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</si>
  <si>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</si>
  <si>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</si>
  <si>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</si>
  <si>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</si>
  <si>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</si>
  <si>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</si>
  <si>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</si>
  <si>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</si>
  <si>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</si>
  <si>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</si>
  <si>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</si>
  <si>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</si>
  <si>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</si>
  <si>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</si>
  <si>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</si>
  <si>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</si>
  <si>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</si>
  <si>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</si>
  <si>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</si>
  <si>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</si>
  <si>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</si>
  <si>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</si>
  <si>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</si>
  <si>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</si>
  <si>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</si>
  <si>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</si>
  <si>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</si>
  <si>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</si>
  <si>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</si>
  <si>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</si>
  <si>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</si>
  <si>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</si>
  <si>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</si>
  <si>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</si>
  <si>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</si>
  <si>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</si>
  <si>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</si>
  <si>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</si>
  <si>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</si>
  <si>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</si>
  <si>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</si>
  <si>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</si>
  <si>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</si>
  <si>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</si>
  <si>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</si>
  <si>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</si>
  <si>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</si>
  <si>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</si>
  <si>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</si>
  <si>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</si>
  <si>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</si>
  <si>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</si>
  <si>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</si>
  <si>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</si>
  <si>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</si>
  <si>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</si>
  <si>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</si>
  <si>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</si>
  <si>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</si>
  <si>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</si>
  <si>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</si>
  <si>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</si>
  <si>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</si>
  <si>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</si>
  <si>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</si>
  <si>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</si>
  <si>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</si>
  <si>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</si>
  <si>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</si>
  <si>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</si>
  <si>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</si>
  <si>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</si>
  <si>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</si>
  <si>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</si>
  <si>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</si>
  <si>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</si>
  <si>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</si>
  <si>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</si>
  <si>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</si>
  <si>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</si>
  <si>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</si>
  <si>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</si>
  <si>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</si>
  <si>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</si>
  <si>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</si>
  <si>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</si>
  <si>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</si>
  <si>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</si>
  <si>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</si>
  <si>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</si>
  <si>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</si>
  <si>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</si>
  <si>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</si>
  <si>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</si>
  <si>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</si>
  <si>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</si>
  <si>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</si>
  <si>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</si>
  <si>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</si>
  <si>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</si>
  <si>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</si>
  <si>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</si>
  <si>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</si>
  <si>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</si>
  <si>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</si>
  <si>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</si>
  <si>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</si>
  <si>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</si>
  <si>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</si>
  <si>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</si>
  <si>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</si>
  <si>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</si>
  <si>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</si>
  <si>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</si>
  <si>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</si>
  <si>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</si>
  <si>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</si>
  <si>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</si>
  <si>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</si>
  <si>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</si>
  <si>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</si>
  <si>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</si>
  <si>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</si>
  <si>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</si>
  <si>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</si>
  <si>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</si>
  <si>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</si>
  <si>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</si>
  <si>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</si>
  <si>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</si>
  <si>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</si>
  <si>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</si>
  <si>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</si>
  <si>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</si>
  <si>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</si>
  <si>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</si>
  <si>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</si>
  <si>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</si>
  <si>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</si>
  <si>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</si>
  <si>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</si>
  <si>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</si>
  <si>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</si>
  <si>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</si>
  <si>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</si>
  <si>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</si>
  <si>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</si>
  <si>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</si>
  <si>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</si>
  <si>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</si>
  <si>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</si>
  <si>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</si>
  <si>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</si>
  <si>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</si>
  <si>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</si>
  <si>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</si>
  <si>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</si>
  <si>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</si>
  <si>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</si>
  <si>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</si>
  <si>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</si>
  <si>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</si>
  <si>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</si>
  <si>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</si>
  <si>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</si>
  <si>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</si>
  <si>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</si>
  <si>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</si>
  <si>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</si>
  <si>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</si>
  <si>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</si>
  <si>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</si>
  <si>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</si>
  <si>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</si>
  <si>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</si>
  <si>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</si>
  <si>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</si>
  <si>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</si>
  <si>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</si>
  <si>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</si>
  <si>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</si>
  <si>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</si>
  <si>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</si>
  <si>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</si>
  <si>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</si>
  <si>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</si>
  <si>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</si>
  <si>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</si>
  <si>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</si>
  <si>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</si>
  <si>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</si>
  <si>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</si>
  <si>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</si>
  <si>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</si>
  <si>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</si>
  <si>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</si>
  <si>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</si>
  <si>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</si>
  <si>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</si>
  <si>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</si>
  <si>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</si>
  <si>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</si>
  <si>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</si>
  <si>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</si>
  <si>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</si>
  <si>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</si>
  <si>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</si>
  <si>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</si>
  <si>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</si>
  <si>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</si>
  <si>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</si>
  <si>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</si>
  <si>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</si>
  <si>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</si>
  <si>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</si>
  <si>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</si>
  <si>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</si>
  <si>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</si>
  <si>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</si>
  <si>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</si>
  <si>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</si>
  <si>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</si>
  <si>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</si>
  <si>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</si>
  <si>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</si>
  <si>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</si>
  <si>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</si>
  <si>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</si>
  <si>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</si>
  <si>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</si>
  <si>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</si>
  <si>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</si>
  <si>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</si>
  <si>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</si>
  <si>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</si>
  <si>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</si>
  <si>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</si>
  <si>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</si>
  <si>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</si>
  <si>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</si>
  <si>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</si>
  <si>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</si>
  <si>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</si>
  <si>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</si>
  <si>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</si>
  <si>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</si>
  <si>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</si>
  <si>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</si>
  <si>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</si>
  <si>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</si>
  <si>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</si>
  <si>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</si>
  <si>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</si>
  <si>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</si>
  <si>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</si>
  <si>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</si>
  <si>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</si>
  <si>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</si>
  <si>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</si>
  <si>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</si>
  <si>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</si>
  <si>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</si>
  <si>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</si>
  <si>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</si>
  <si>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</si>
  <si>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</si>
  <si>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</si>
  <si>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</si>
  <si>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</si>
  <si>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</si>
  <si>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</si>
  <si>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</si>
  <si>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</si>
  <si>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</si>
  <si>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</si>
  <si>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</si>
  <si>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</si>
  <si>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</si>
  <si>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</si>
  <si>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</si>
  <si>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</si>
  <si>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</si>
  <si>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</si>
  <si>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</si>
  <si>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</si>
  <si>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</si>
  <si>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</si>
  <si>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</si>
  <si>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</si>
  <si>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</si>
  <si>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</si>
  <si>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</si>
  <si>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</si>
  <si>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</si>
  <si>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</si>
  <si>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</si>
  <si>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</si>
  <si>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</si>
  <si>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</si>
  <si>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</si>
  <si>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</si>
  <si>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</si>
  <si>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</si>
  <si>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</si>
  <si>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</si>
  <si>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</si>
  <si>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</si>
  <si>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</si>
  <si>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</si>
  <si>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</si>
  <si>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</si>
  <si>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</si>
  <si>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</si>
  <si>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</si>
  <si>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</si>
  <si>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</si>
  <si>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</si>
  <si>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</si>
  <si>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</si>
  <si>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</si>
  <si>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</si>
  <si>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</si>
  <si>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</si>
  <si>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</si>
  <si>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</si>
  <si>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</si>
  <si>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</si>
  <si>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</si>
  <si>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</si>
  <si>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</si>
  <si>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</si>
  <si>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</si>
  <si>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</si>
  <si>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</si>
  <si>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</si>
  <si>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</si>
  <si>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</si>
  <si>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</si>
  <si>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</si>
  <si>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</si>
  <si>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</si>
  <si>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</si>
  <si>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</si>
  <si>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</si>
  <si>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</si>
  <si>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</si>
  <si>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</si>
  <si>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</si>
  <si>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</si>
  <si>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</si>
  <si>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</si>
  <si>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</si>
  <si>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</si>
  <si>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</si>
  <si>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</si>
  <si>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</si>
  <si>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</si>
  <si>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</si>
  <si>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</si>
  <si>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</si>
  <si>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</si>
  <si>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</si>
  <si>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</si>
  <si>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</si>
  <si>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</si>
  <si>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</si>
  <si>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</si>
  <si>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</si>
  <si>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</si>
  <si>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</si>
  <si>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</si>
  <si>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</si>
  <si>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</si>
  <si>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</si>
  <si>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</si>
  <si>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</si>
  <si>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</si>
  <si>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</si>
  <si>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</si>
  <si>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</si>
  <si>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</si>
  <si>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</si>
  <si>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</si>
  <si>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</si>
  <si>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</si>
  <si>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</si>
  <si>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</si>
  <si>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</si>
  <si>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</si>
  <si>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</si>
  <si>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</si>
  <si>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</si>
  <si>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</si>
  <si>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</si>
  <si>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</si>
  <si>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</si>
  <si>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</si>
  <si>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</si>
  <si>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</si>
  <si>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</si>
  <si>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</si>
  <si>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</si>
  <si>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</si>
  <si>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</si>
  <si>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</si>
  <si>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</si>
  <si>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</si>
  <si>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</si>
  <si>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</si>
  <si>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</si>
  <si>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</si>
  <si>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</si>
  <si>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</si>
  <si>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</si>
  <si>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</si>
  <si>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</si>
  <si>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</si>
  <si>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</si>
  <si>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</si>
  <si>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</si>
  <si>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</si>
  <si>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</si>
  <si>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</si>
  <si>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</si>
  <si>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</si>
  <si>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</si>
  <si>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</si>
  <si>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</si>
  <si>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</si>
  <si>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</si>
  <si>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</si>
  <si>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</si>
  <si>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</si>
  <si>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</si>
  <si>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</si>
  <si>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</si>
  <si>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</si>
  <si>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</si>
  <si>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</si>
  <si>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</si>
  <si>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</si>
  <si>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</si>
  <si>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</si>
  <si>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</si>
  <si>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</si>
  <si>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</si>
  <si>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</si>
  <si>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</si>
  <si>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</si>
  <si>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</si>
  <si>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</si>
  <si>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</si>
  <si>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</si>
  <si>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</si>
  <si>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</si>
  <si>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</si>
  <si>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</si>
  <si>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</si>
  <si>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</si>
  <si>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</si>
  <si>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</si>
  <si>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</si>
  <si>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</si>
  <si>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</si>
  <si>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</si>
  <si>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</si>
  <si>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</si>
  <si>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</si>
  <si>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</si>
  <si>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</si>
  <si>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</si>
  <si>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</si>
  <si>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</si>
  <si>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</si>
  <si>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</si>
  <si>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</si>
  <si>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</si>
  <si>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</si>
  <si>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</si>
  <si>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</si>
  <si>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</si>
  <si>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</si>
  <si>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</si>
  <si>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</si>
  <si>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</si>
  <si>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</si>
  <si>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</si>
  <si>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</si>
  <si>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</si>
  <si>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</si>
  <si>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</si>
  <si>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</si>
  <si>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</si>
  <si>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</si>
  <si>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</si>
  <si>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</si>
  <si>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</si>
  <si>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</si>
  <si>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</si>
  <si>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</si>
  <si>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</si>
  <si>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</si>
  <si>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</si>
  <si>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</si>
  <si>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</si>
  <si>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</si>
  <si>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</si>
  <si>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</si>
  <si>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</si>
  <si>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</si>
  <si>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</si>
  <si>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</si>
  <si>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</si>
  <si>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</si>
  <si>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</si>
  <si>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</si>
  <si>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</si>
  <si>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</si>
  <si>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</si>
  <si>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</si>
  <si>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</si>
  <si>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</si>
  <si>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</si>
  <si>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</si>
  <si>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</si>
  <si>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</si>
  <si>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</si>
  <si>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</si>
  <si>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</si>
  <si>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</si>
  <si>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</si>
  <si>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</si>
  <si>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</si>
  <si>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</si>
  <si>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</si>
  <si>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</si>
  <si>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</si>
  <si>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</si>
  <si>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</si>
  <si>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</si>
  <si>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</si>
  <si>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</si>
  <si>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</si>
  <si>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</si>
  <si>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</si>
  <si>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</si>
  <si>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</si>
  <si>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</si>
  <si>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</si>
  <si>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</si>
  <si>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</si>
  <si>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</si>
  <si>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</si>
  <si>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</si>
  <si>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</si>
  <si>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</si>
  <si>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</si>
  <si>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</si>
  <si>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</si>
  <si>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</si>
  <si>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</si>
  <si>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</si>
  <si>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</si>
  <si>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</si>
  <si>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</si>
  <si>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</si>
  <si>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</si>
  <si>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</si>
  <si>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</si>
  <si>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</si>
  <si>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</si>
  <si>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</si>
  <si>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</si>
  <si>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</si>
  <si>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</si>
  <si>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</si>
  <si>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</si>
  <si>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</si>
  <si>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</si>
  <si>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</si>
  <si>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</si>
  <si>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</si>
  <si>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</si>
  <si>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</si>
  <si>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</si>
  <si>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</si>
  <si>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</si>
  <si>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</si>
  <si>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</si>
  <si>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</si>
  <si>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</si>
  <si>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</si>
  <si>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</si>
  <si>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</si>
  <si>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</si>
  <si>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</si>
  <si>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</si>
  <si>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</si>
  <si>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</si>
  <si>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</si>
  <si>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</si>
  <si>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</si>
  <si>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</si>
  <si>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</si>
  <si>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</si>
  <si>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</si>
  <si>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</si>
  <si>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</si>
  <si>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</si>
  <si>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</si>
  <si>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</si>
  <si>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</si>
  <si>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</si>
  <si>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</si>
  <si>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</si>
  <si>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</si>
  <si>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</si>
  <si>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</si>
  <si>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</si>
  <si>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</si>
  <si>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</si>
  <si>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</si>
  <si>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</si>
  <si>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</si>
  <si>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</si>
  <si>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</si>
  <si>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</si>
  <si>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</si>
  <si>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</si>
  <si>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</si>
  <si>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</si>
  <si>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</si>
  <si>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</si>
  <si>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</si>
  <si>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</si>
  <si>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</si>
  <si>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</si>
  <si>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</si>
  <si>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</si>
  <si>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</si>
  <si>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</si>
  <si>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</si>
  <si>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</si>
  <si>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</si>
  <si>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</si>
  <si>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</si>
  <si>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</si>
  <si>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</si>
  <si>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</si>
  <si>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</si>
  <si>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</si>
  <si>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</si>
  <si>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</si>
  <si>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</si>
  <si>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</si>
  <si>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</si>
  <si>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</si>
  <si>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</si>
  <si>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</si>
  <si>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</si>
  <si>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</si>
  <si>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</si>
  <si>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</si>
  <si>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</si>
  <si>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</si>
  <si>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</si>
  <si>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</si>
  <si>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</si>
  <si>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</si>
  <si>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</si>
  <si>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</si>
  <si>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</si>
  <si>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</si>
  <si>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</si>
  <si>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</si>
  <si>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</si>
  <si>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</si>
  <si>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</si>
  <si>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</si>
  <si>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</si>
  <si>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</si>
  <si>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</si>
  <si>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</si>
  <si>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</si>
  <si>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</si>
  <si>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</si>
  <si>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</si>
  <si>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</si>
  <si>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</si>
  <si>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</si>
  <si>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</si>
  <si>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</si>
  <si>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</si>
  <si>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</si>
  <si>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</si>
  <si>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</si>
  <si>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</si>
  <si>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</si>
  <si>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</si>
  <si>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</si>
  <si>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</si>
  <si>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</si>
  <si>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</si>
  <si>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</si>
  <si>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</si>
  <si>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</si>
  <si>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</si>
  <si>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</si>
  <si>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</si>
  <si>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</si>
  <si>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</si>
  <si>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</si>
  <si>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</si>
  <si>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</si>
  <si>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</si>
  <si>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</si>
  <si>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</si>
  <si>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</si>
  <si>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</si>
  <si>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</si>
  <si>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</si>
  <si>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</si>
  <si>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</si>
  <si>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</si>
  <si>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</si>
  <si>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</si>
  <si>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</si>
  <si>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</si>
  <si>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</si>
  <si>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</si>
  <si>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</si>
  <si>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</si>
  <si>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</si>
  <si>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</si>
  <si>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</si>
  <si>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</si>
  <si>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</si>
  <si>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</si>
  <si>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</si>
  <si>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</si>
  <si>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</si>
  <si>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</si>
  <si>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</si>
  <si>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</si>
  <si>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</si>
  <si>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</si>
  <si>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</si>
  <si>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</si>
  <si>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</si>
  <si>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</si>
  <si>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</si>
  <si>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</si>
  <si>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</si>
  <si>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</si>
  <si>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</si>
  <si>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</si>
  <si>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</si>
  <si>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</si>
  <si>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</si>
  <si>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</si>
  <si>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</si>
  <si>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</si>
  <si>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</si>
  <si>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</si>
  <si>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</si>
  <si>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</si>
  <si>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</si>
  <si>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</si>
  <si>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</si>
  <si>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</si>
  <si>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</si>
  <si>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</si>
  <si>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</si>
  <si>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</si>
  <si>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</si>
  <si>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</si>
  <si>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</si>
  <si>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</si>
  <si>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</si>
  <si>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</si>
  <si>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</si>
  <si>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</si>
  <si>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</si>
  <si>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</si>
  <si>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</si>
  <si>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</si>
  <si>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</si>
  <si>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</si>
  <si>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</si>
  <si>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</si>
  <si>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</si>
  <si>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</si>
  <si>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</si>
  <si>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</si>
  <si>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</si>
  <si>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</si>
  <si>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</si>
  <si>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</si>
  <si>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</si>
  <si>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</si>
  <si>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</si>
  <si>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</si>
  <si>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</si>
  <si>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</si>
  <si>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</si>
  <si>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</si>
  <si>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</si>
  <si>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</si>
  <si>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</si>
  <si>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</si>
  <si>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</si>
  <si>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</si>
  <si>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</si>
  <si>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</si>
  <si>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</si>
  <si>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</si>
  <si>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</si>
  <si>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</si>
  <si>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</si>
  <si>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</si>
  <si>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</si>
  <si>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</si>
  <si>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</si>
  <si>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</si>
  <si>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</si>
  <si>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</si>
  <si>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</si>
  <si>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</si>
  <si>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</si>
  <si>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</si>
  <si>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</si>
  <si>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</si>
  <si>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</si>
  <si>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</si>
  <si>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</si>
  <si>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</si>
  <si>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</si>
  <si>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</si>
  <si>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</si>
  <si>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</si>
  <si>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</si>
  <si>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</si>
  <si>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</si>
  <si>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</si>
  <si>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</si>
  <si>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</si>
  <si>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</si>
  <si>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</si>
  <si>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</si>
  <si>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</si>
  <si>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</si>
  <si>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</si>
  <si>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</si>
  <si>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</si>
  <si>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</si>
  <si>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</si>
  <si>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</si>
  <si>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</si>
  <si>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</si>
  <si>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</si>
  <si>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</si>
  <si>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</si>
  <si>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</si>
  <si>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</si>
  <si>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</si>
  <si>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</si>
  <si>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</si>
  <si>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</si>
  <si>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</si>
  <si>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</si>
  <si>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</si>
  <si>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</si>
  <si>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</si>
  <si>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</si>
  <si>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</si>
  <si>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</si>
  <si>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</si>
  <si>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</si>
  <si>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</si>
  <si>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</si>
  <si>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</si>
  <si>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</si>
  <si>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</si>
  <si>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</si>
  <si>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</si>
  <si>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</si>
  <si>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</si>
  <si>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</si>
  <si>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</si>
  <si>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</si>
  <si>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</si>
  <si>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</si>
  <si>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</si>
  <si>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</si>
  <si>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</si>
  <si>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</si>
  <si>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</si>
  <si>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</si>
  <si>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</si>
  <si>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</si>
  <si>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</si>
  <si>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</si>
  <si>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</si>
  <si>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</si>
  <si>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</si>
  <si>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</si>
  <si>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</si>
  <si>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</si>
  <si>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</si>
  <si>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</si>
  <si>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</si>
  <si>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</si>
  <si>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</si>
  <si>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</si>
  <si>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</si>
  <si>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</si>
  <si>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</si>
  <si>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</si>
  <si>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</si>
  <si>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</si>
  <si>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</si>
  <si>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</si>
  <si>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</si>
  <si>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</si>
  <si>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</si>
  <si>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</si>
  <si>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</si>
  <si>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</si>
  <si>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</si>
  <si>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</si>
  <si>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</si>
  <si>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</si>
  <si>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</si>
  <si>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</si>
  <si>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</si>
  <si>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</si>
  <si>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</si>
  <si>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</si>
  <si>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</si>
  <si>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</si>
  <si>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</si>
  <si>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</si>
  <si>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</si>
  <si>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</si>
  <si>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</si>
  <si>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</si>
  <si>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</si>
  <si>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</si>
  <si>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</si>
  <si>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</si>
  <si>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</si>
  <si>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</si>
  <si>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</si>
  <si>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</si>
  <si>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</si>
  <si>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</si>
  <si>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</si>
  <si>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</si>
  <si>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</si>
  <si>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</si>
  <si>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</si>
  <si>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</si>
  <si>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</si>
  <si>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</si>
  <si>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</si>
  <si>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</si>
  <si>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</si>
  <si>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</si>
  <si>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</si>
  <si>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</si>
  <si>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</si>
  <si>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</si>
  <si>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</si>
  <si>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</si>
  <si>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</si>
  <si>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</si>
  <si>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</si>
  <si>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</si>
  <si>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</si>
  <si>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</si>
  <si>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</si>
  <si>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</si>
  <si>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</si>
  <si>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</si>
  <si>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</si>
  <si>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</si>
  <si>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</si>
  <si>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</si>
  <si>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</si>
  <si>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</si>
  <si>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</si>
  <si>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</si>
  <si>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</si>
  <si>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</si>
  <si>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</si>
  <si>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</si>
  <si>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</si>
  <si>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</si>
  <si>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</si>
  <si>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</si>
  <si>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</si>
  <si>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</si>
  <si>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</si>
  <si>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</si>
  <si>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</si>
  <si>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</si>
  <si>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</si>
  <si>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</si>
  <si>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</si>
  <si>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</si>
  <si>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</si>
  <si>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</si>
  <si>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</si>
  <si>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</si>
  <si>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</si>
  <si>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</si>
  <si>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</si>
  <si>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</si>
  <si>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</si>
  <si>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</si>
  <si>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</si>
  <si>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</si>
  <si>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</si>
  <si>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</si>
  <si>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</si>
  <si>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</si>
  <si>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</si>
  <si>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</si>
  <si>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</si>
  <si>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</si>
  <si>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</si>
  <si>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</si>
  <si>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</si>
  <si>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</si>
  <si>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</si>
  <si>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</si>
  <si>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</si>
  <si>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</si>
  <si>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</si>
  <si>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</si>
  <si>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</si>
  <si>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</si>
  <si>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</si>
  <si>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</si>
  <si>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</si>
  <si>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</si>
  <si>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</si>
  <si>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</si>
  <si>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</si>
  <si>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</si>
  <si>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</si>
  <si>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</si>
  <si>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</si>
  <si>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</si>
  <si>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</si>
  <si>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</si>
  <si>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</si>
  <si>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</si>
  <si>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</si>
  <si>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</si>
  <si>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</si>
  <si>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</si>
  <si>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</si>
  <si>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</si>
  <si>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</si>
  <si>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</si>
  <si>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</si>
  <si>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</si>
  <si>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</si>
  <si>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</si>
  <si>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</si>
  <si>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</si>
  <si>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</si>
  <si>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</si>
  <si>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</si>
  <si>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</si>
  <si>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</si>
  <si>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</si>
  <si>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</si>
  <si>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</si>
  <si>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</si>
  <si>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</si>
  <si>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</si>
  <si>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</si>
  <si>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</si>
  <si>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</si>
  <si>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</si>
  <si>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</si>
  <si>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</si>
  <si>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</si>
  <si>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</si>
  <si>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</si>
  <si>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</si>
  <si>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</si>
  <si>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</si>
  <si>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</si>
  <si>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</si>
  <si>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</si>
  <si>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</si>
  <si>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</si>
  <si>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</si>
  <si>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</si>
  <si>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</si>
  <si>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</si>
  <si>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</si>
  <si>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</si>
  <si>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</si>
  <si>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</si>
  <si>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</si>
  <si>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</si>
  <si>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</si>
  <si>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</si>
  <si>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</si>
  <si>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</si>
  <si>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</si>
  <si>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</si>
  <si>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</si>
  <si>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</si>
  <si>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</si>
  <si>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</si>
  <si>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</si>
  <si>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</si>
  <si>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</si>
  <si>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</si>
  <si>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</si>
  <si>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</si>
  <si>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</si>
  <si>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</si>
  <si>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</si>
  <si>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</si>
  <si>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</si>
  <si>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</si>
  <si>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</si>
  <si>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</si>
  <si>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</si>
  <si>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</si>
  <si>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</si>
  <si>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</si>
  <si>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</si>
  <si>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</si>
  <si>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</si>
  <si>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</si>
  <si>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</si>
  <si>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</si>
  <si>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</si>
  <si>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</si>
  <si>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</si>
  <si>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</si>
  <si>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</si>
  <si>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</si>
  <si>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</si>
  <si>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</si>
  <si>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</si>
  <si>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</si>
  <si>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</si>
  <si>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</si>
  <si>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</si>
  <si>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</si>
  <si>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</si>
  <si>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</si>
  <si>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</si>
  <si>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</si>
  <si>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</si>
  <si>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</si>
  <si>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</si>
  <si>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</si>
  <si>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</si>
  <si>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</si>
  <si>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</si>
  <si>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</si>
  <si>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</si>
  <si>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</si>
  <si>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</si>
  <si>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</si>
  <si>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</si>
  <si>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</si>
  <si>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</si>
  <si>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</si>
  <si>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</si>
  <si>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</si>
  <si>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</si>
  <si>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</si>
  <si>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</si>
  <si>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</si>
  <si>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</si>
  <si>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</si>
  <si>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</si>
  <si>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</si>
  <si>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</si>
  <si>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</si>
  <si>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</si>
  <si>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</si>
  <si>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</si>
  <si>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</si>
  <si>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</si>
  <si>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</si>
  <si>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</si>
  <si>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</si>
  <si>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</si>
  <si>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</si>
  <si>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</si>
  <si>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</si>
  <si>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</si>
  <si>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</si>
  <si>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</si>
  <si>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</si>
  <si>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</si>
  <si>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</si>
  <si>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</si>
  <si>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</si>
  <si>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</si>
  <si>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</si>
  <si>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</si>
  <si>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</si>
  <si>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</si>
  <si>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</si>
  <si>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</si>
  <si>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</si>
  <si>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</si>
  <si>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</si>
  <si>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</si>
  <si>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</si>
  <si>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</si>
  <si>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</si>
  <si>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</si>
  <si>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</si>
  <si>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</si>
  <si>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</si>
  <si>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</si>
  <si>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</si>
  <si>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</si>
  <si>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</si>
  <si>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</si>
  <si>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</si>
  <si>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</si>
  <si>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</si>
  <si>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</si>
  <si>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</si>
  <si>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</si>
  <si>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</si>
  <si>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</si>
  <si>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</si>
  <si>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</si>
  <si>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</si>
  <si>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</si>
  <si>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</si>
  <si>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</si>
  <si>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</si>
  <si>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</si>
  <si>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</si>
  <si>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</si>
  <si>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</si>
  <si>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</si>
  <si>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</si>
  <si>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</si>
  <si>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</si>
  <si>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</si>
  <si>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</si>
  <si>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</si>
  <si>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</si>
  <si>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</si>
  <si>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</si>
  <si>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</si>
  <si>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</si>
  <si>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</si>
  <si>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</si>
  <si>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</si>
  <si>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</si>
  <si>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</si>
  <si>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</si>
  <si>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</si>
  <si>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</si>
  <si>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</si>
  <si>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</si>
  <si>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</si>
  <si>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</si>
  <si>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</si>
  <si>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</si>
  <si>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</si>
  <si>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</si>
  <si>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</si>
  <si>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</si>
  <si>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</si>
  <si>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</si>
  <si>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</si>
  <si>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</si>
  <si>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</si>
  <si>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</si>
  <si>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</si>
  <si>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</si>
  <si>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</si>
  <si>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</si>
  <si>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</si>
  <si>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</si>
  <si>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</si>
  <si>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</si>
  <si>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</si>
  <si>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</si>
  <si>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</si>
  <si>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</si>
  <si>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</si>
  <si>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</si>
  <si>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</si>
  <si>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</si>
  <si>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</si>
  <si>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</si>
  <si>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</si>
  <si>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</si>
  <si>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</si>
  <si>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</si>
  <si>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</si>
  <si>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</si>
  <si>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</si>
  <si>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</si>
  <si>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</si>
  <si>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</si>
  <si>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</si>
  <si>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</si>
  <si>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</si>
  <si>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</si>
  <si>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</si>
  <si>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</si>
  <si>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</si>
  <si>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</si>
  <si>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</si>
  <si>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</si>
  <si>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</si>
  <si>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</si>
  <si>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</si>
  <si>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</si>
  <si>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</si>
  <si>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</si>
  <si>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</si>
  <si>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</si>
  <si>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</si>
  <si>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</si>
  <si>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</si>
  <si>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</si>
  <si>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</si>
  <si>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</si>
  <si>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</si>
  <si>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</si>
  <si>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</si>
  <si>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</si>
  <si>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</si>
  <si>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</si>
  <si>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</si>
  <si>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</si>
  <si>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</si>
  <si>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</si>
  <si>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</si>
  <si>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</si>
  <si>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</si>
  <si>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</si>
  <si>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</si>
  <si>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</si>
  <si>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</si>
  <si>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</si>
  <si>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</si>
  <si>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</si>
  <si>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</si>
  <si>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</si>
  <si>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</si>
  <si>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</si>
  <si>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</si>
  <si>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</si>
  <si>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</si>
  <si>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</si>
  <si>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</si>
  <si>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</si>
  <si>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</si>
  <si>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</si>
  <si>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</si>
  <si>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</si>
  <si>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</si>
  <si>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</si>
  <si>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</si>
  <si>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</si>
  <si>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</si>
  <si>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</si>
  <si>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</si>
  <si>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</si>
  <si>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</si>
  <si>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</si>
  <si>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</si>
  <si>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</si>
  <si>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</si>
  <si>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</si>
  <si>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</si>
  <si>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</si>
  <si>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</si>
  <si>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</si>
  <si>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</si>
  <si>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</si>
  <si>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</si>
  <si>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</si>
  <si>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</si>
  <si>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</si>
  <si>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</si>
  <si>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</si>
  <si>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</si>
  <si>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</si>
  <si>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</si>
  <si>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</si>
  <si>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</si>
  <si>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</si>
  <si>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</si>
  <si>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</si>
  <si>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</si>
  <si>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</si>
  <si>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</si>
  <si>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</si>
  <si>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</si>
  <si>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</si>
  <si>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</si>
  <si>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</si>
  <si>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</si>
  <si>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</si>
  <si>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</si>
  <si>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</si>
  <si>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</si>
  <si>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</si>
  <si>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</si>
  <si>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</si>
  <si>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</si>
  <si>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</si>
  <si>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</si>
  <si>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</si>
  <si>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</si>
  <si>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</si>
  <si>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</si>
  <si>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</si>
  <si>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</si>
  <si>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</si>
  <si>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</si>
  <si>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</si>
  <si>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</si>
  <si>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</si>
  <si>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</si>
  <si>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</si>
  <si>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</si>
  <si>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</si>
  <si>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</si>
  <si>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</si>
  <si>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</si>
  <si>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</si>
  <si>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</si>
  <si>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</si>
  <si>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</si>
  <si>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</si>
  <si>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</si>
  <si>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</si>
  <si>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</si>
  <si>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</si>
  <si>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</si>
  <si>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</si>
  <si>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</si>
  <si>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</si>
  <si>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</si>
  <si>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</si>
  <si>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</si>
  <si>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</si>
  <si>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</si>
  <si>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</si>
  <si>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</si>
  <si>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</si>
  <si>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</si>
  <si>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</si>
  <si>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</si>
  <si>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</si>
  <si>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</si>
  <si>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</si>
  <si>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</si>
  <si>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</si>
  <si>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</si>
  <si>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</si>
  <si>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</si>
  <si>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</si>
  <si>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</si>
  <si>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</si>
  <si>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</si>
  <si>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</si>
  <si>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</si>
  <si>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</si>
  <si>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</si>
  <si>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</si>
  <si>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</si>
  <si>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</si>
  <si>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</si>
  <si>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</si>
  <si>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</si>
  <si>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</si>
  <si>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</si>
  <si>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</si>
  <si>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</si>
  <si>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</si>
  <si>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</si>
  <si>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</si>
  <si>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</si>
  <si>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</si>
  <si>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</si>
  <si>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</si>
  <si>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</si>
  <si>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</si>
  <si>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</si>
  <si>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</si>
  <si>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</si>
  <si>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</si>
  <si>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</si>
  <si>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</si>
  <si>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</si>
  <si>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</si>
  <si>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</si>
  <si>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</si>
  <si>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</si>
  <si>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</si>
  <si>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</si>
  <si>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</si>
  <si>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</si>
  <si>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</si>
  <si>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</si>
  <si>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</si>
  <si>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</si>
  <si>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</si>
  <si>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</si>
  <si>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</si>
  <si>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</si>
  <si>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</si>
  <si>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</si>
  <si>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</si>
  <si>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</si>
  <si>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</si>
  <si>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</si>
  <si>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</si>
  <si>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</si>
  <si>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</si>
  <si>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</si>
  <si>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</si>
  <si>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</si>
  <si>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</si>
  <si>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</si>
  <si>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</si>
  <si>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</si>
  <si>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</si>
  <si>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</si>
  <si>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</si>
  <si>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</si>
  <si>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</si>
  <si>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</si>
  <si>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</si>
  <si>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</si>
  <si>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</si>
  <si>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</si>
  <si>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</si>
  <si>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</si>
  <si>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</si>
  <si>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</si>
  <si>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</si>
  <si>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</si>
  <si>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</si>
  <si>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</si>
  <si>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</si>
  <si>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</si>
  <si>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</si>
  <si>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</si>
  <si>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</si>
  <si>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</si>
  <si>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</si>
  <si>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</si>
  <si>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</si>
  <si>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</si>
  <si>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</si>
  <si>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</si>
  <si>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</si>
  <si>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</si>
  <si>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</si>
  <si>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</si>
  <si>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</si>
  <si>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</si>
  <si>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</si>
  <si>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</si>
  <si>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</si>
  <si>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</si>
  <si>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</si>
  <si>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</si>
  <si>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</si>
  <si>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</si>
  <si>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</si>
  <si>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</si>
  <si>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</si>
  <si>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</si>
  <si>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</si>
  <si>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</si>
  <si>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</si>
  <si>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</si>
  <si>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</si>
  <si>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</si>
  <si>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</si>
  <si>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</si>
  <si>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</si>
  <si>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</si>
  <si>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</si>
  <si>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</si>
  <si>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</si>
  <si>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</si>
  <si>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</si>
  <si>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</si>
  <si>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</si>
  <si>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</si>
  <si>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</si>
  <si>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</si>
  <si>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</si>
  <si>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</si>
  <si>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</si>
  <si>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</si>
  <si>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</si>
  <si>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</si>
  <si>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</si>
  <si>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</si>
  <si>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</si>
  <si>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</si>
  <si>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</si>
  <si>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</si>
  <si>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</si>
  <si>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</si>
  <si>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</si>
  <si>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</si>
  <si>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</si>
  <si>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</si>
  <si>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</si>
  <si>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</si>
  <si>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</si>
  <si>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</si>
  <si>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</si>
  <si>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</si>
  <si>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</si>
  <si>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</si>
  <si>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</si>
  <si>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</si>
  <si>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</si>
  <si>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</si>
  <si>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</si>
  <si>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</si>
  <si>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</si>
  <si>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</si>
  <si>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</si>
  <si>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</si>
  <si>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</si>
  <si>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</si>
  <si>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</si>
  <si>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</si>
  <si>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</si>
  <si>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</si>
  <si>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</si>
  <si>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</si>
  <si>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</si>
  <si>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</si>
  <si>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</si>
  <si>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</si>
  <si>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</si>
  <si>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</si>
  <si>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</si>
  <si>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</si>
  <si>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</si>
  <si>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</si>
  <si>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</si>
  <si>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</si>
  <si>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</si>
  <si>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</si>
  <si>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</si>
  <si>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</si>
  <si>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</si>
  <si>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</si>
  <si>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</si>
  <si>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</si>
  <si>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</si>
  <si>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</si>
  <si>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</si>
  <si>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</si>
  <si>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</si>
  <si>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</si>
  <si>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</si>
  <si>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</si>
  <si>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</si>
  <si>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</si>
  <si>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</si>
  <si>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</si>
  <si>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</si>
  <si>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</si>
  <si>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</si>
  <si>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</si>
  <si>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</si>
  <si>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</si>
  <si>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</si>
  <si>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</si>
  <si>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</si>
  <si>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</si>
  <si>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</si>
  <si>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</si>
  <si>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</si>
  <si>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</si>
  <si>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</si>
  <si>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</si>
  <si>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</si>
  <si>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</si>
  <si>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</si>
  <si>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</si>
  <si>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</si>
  <si>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</si>
  <si>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</si>
  <si>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</si>
  <si>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</si>
  <si>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</si>
  <si>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</si>
  <si>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</si>
  <si>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</si>
  <si>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</si>
  <si>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</si>
  <si>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</si>
  <si>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</si>
  <si>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</si>
  <si>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</si>
  <si>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</si>
  <si>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</si>
  <si>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</si>
  <si>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</si>
  <si>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</si>
  <si>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</si>
  <si>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</si>
  <si>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</si>
  <si>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</si>
  <si>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</si>
  <si>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</si>
  <si>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</si>
  <si>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</si>
  <si>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</si>
  <si>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</si>
  <si>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</si>
  <si>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</si>
  <si>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</si>
  <si>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</si>
  <si>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</si>
  <si>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</si>
  <si>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</si>
  <si>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</si>
  <si>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</si>
  <si>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</si>
  <si>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</si>
  <si>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</si>
  <si>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</si>
  <si>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</si>
  <si>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</si>
  <si>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</si>
  <si>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</si>
  <si>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</si>
  <si>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</si>
  <si>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</si>
  <si>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</si>
  <si>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</si>
  <si>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</si>
  <si>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</si>
  <si>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</si>
  <si>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</si>
  <si>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</si>
  <si>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</si>
  <si>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</si>
  <si>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</si>
  <si>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</si>
  <si>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</si>
  <si>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</si>
  <si>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</si>
  <si>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</si>
  <si>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</si>
  <si>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</si>
  <si>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</si>
  <si>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</si>
  <si>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</si>
  <si>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</si>
  <si>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</si>
  <si>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</si>
  <si>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</si>
  <si>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</si>
  <si>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</si>
  <si>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</si>
  <si>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</si>
  <si>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</si>
  <si>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</si>
  <si>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</si>
  <si>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</si>
  <si>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</si>
  <si>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</si>
  <si>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</si>
  <si>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</si>
  <si>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</si>
  <si>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</si>
  <si>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</si>
  <si>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</si>
  <si>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</si>
  <si>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</si>
  <si>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</si>
  <si>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</si>
  <si>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</si>
  <si>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</si>
  <si>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</si>
  <si>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</si>
  <si>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</si>
  <si>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</si>
  <si>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</si>
  <si>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</si>
  <si>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</si>
  <si>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</si>
  <si>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</si>
  <si>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</si>
  <si>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</si>
  <si>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</si>
  <si>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</si>
  <si>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</si>
  <si>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</si>
  <si>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</si>
  <si>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</si>
  <si>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</si>
  <si>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</si>
  <si>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</si>
  <si>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</si>
  <si>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</si>
  <si>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</si>
  <si>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</si>
  <si>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</si>
  <si>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</si>
  <si>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</si>
  <si>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</si>
  <si>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</si>
  <si>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</si>
  <si>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</si>
  <si>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</si>
  <si>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</si>
  <si>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</si>
  <si>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</si>
  <si>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</si>
  <si>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</si>
  <si>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</si>
  <si>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</si>
  <si>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</si>
  <si>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</si>
  <si>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</si>
  <si>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</si>
  <si>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</si>
  <si>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</si>
  <si>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</si>
  <si>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</si>
  <si>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</si>
  <si>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</si>
  <si>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</si>
  <si>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</si>
  <si>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</si>
  <si>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</si>
  <si>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</si>
  <si>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</si>
  <si>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</si>
  <si>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</si>
  <si>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</si>
  <si>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</si>
  <si>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</si>
  <si>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</si>
  <si>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</si>
  <si>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</si>
  <si>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</si>
  <si>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</si>
  <si>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</si>
  <si>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</si>
  <si>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</si>
  <si>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</si>
  <si>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</si>
  <si>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</si>
  <si>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</si>
  <si>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</si>
  <si>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</si>
  <si>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</si>
  <si>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</si>
  <si>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</si>
  <si>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</si>
  <si>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</si>
  <si>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</si>
  <si>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</si>
  <si>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</si>
  <si>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</si>
  <si>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</si>
  <si>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</si>
  <si>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</si>
  <si>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</si>
  <si>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</si>
  <si>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</si>
  <si>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</si>
  <si>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</si>
  <si>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</si>
  <si>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</si>
  <si>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</si>
  <si>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</si>
  <si>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</si>
  <si>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</si>
  <si>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</si>
  <si>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</si>
  <si>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</si>
  <si>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</si>
  <si>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</si>
  <si>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</si>
  <si>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</si>
  <si>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</si>
  <si>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</si>
  <si>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</si>
  <si>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</si>
  <si>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</si>
  <si>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</si>
  <si>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</si>
  <si>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</si>
  <si>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</si>
  <si>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</si>
  <si>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</si>
  <si>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</si>
  <si>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</si>
  <si>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</si>
  <si>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</si>
  <si>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</si>
  <si>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</si>
  <si>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</si>
  <si>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</si>
  <si>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</si>
  <si>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</si>
  <si>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</si>
  <si>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</si>
  <si>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</si>
  <si>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</si>
  <si>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</si>
  <si>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</si>
  <si>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</si>
  <si>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</si>
  <si>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</si>
  <si>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</si>
  <si>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</si>
  <si>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</si>
  <si>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</si>
  <si>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</si>
  <si>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</si>
  <si>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</si>
  <si>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</si>
  <si>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</si>
  <si>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</si>
  <si>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</si>
  <si>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</si>
  <si>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</si>
  <si>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</si>
  <si>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</si>
  <si>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</si>
  <si>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</si>
  <si>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</si>
  <si>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</si>
  <si>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</si>
  <si>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</si>
  <si>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</si>
  <si>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</si>
  <si>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</si>
  <si>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</si>
  <si>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</si>
  <si>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</si>
  <si>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</si>
  <si>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</si>
  <si>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</si>
  <si>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</si>
  <si>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</si>
  <si>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</si>
  <si>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</si>
  <si>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</si>
  <si>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</si>
  <si>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</si>
  <si>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</si>
  <si>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</si>
  <si>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</si>
  <si>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</si>
  <si>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</si>
  <si>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</si>
  <si>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</si>
  <si>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</si>
  <si>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</si>
  <si>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</si>
  <si>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</si>
  <si>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</si>
  <si>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</si>
  <si>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</si>
  <si>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</si>
  <si>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</si>
  <si>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</si>
  <si>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</si>
  <si>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</si>
  <si>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</si>
  <si>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</si>
  <si>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</si>
  <si>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</si>
  <si>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</si>
  <si>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</si>
  <si>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</si>
  <si>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</si>
  <si>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</si>
  <si>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</si>
  <si>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</si>
  <si>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</si>
  <si>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</si>
  <si>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</si>
  <si>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</si>
  <si>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</si>
  <si>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</si>
  <si>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</si>
  <si>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</si>
  <si>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</si>
  <si>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</si>
  <si>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</si>
  <si>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</si>
  <si>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</si>
  <si>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</si>
  <si>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</si>
  <si>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</si>
  <si>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</si>
  <si>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</si>
  <si>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</si>
  <si>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</si>
  <si>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</si>
  <si>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</si>
  <si>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</si>
  <si>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</si>
  <si>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</si>
  <si>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</si>
  <si>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</si>
  <si>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</si>
  <si>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</si>
  <si>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</si>
  <si>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</si>
  <si>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</si>
  <si>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</si>
  <si>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</si>
  <si>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</si>
  <si>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</si>
  <si>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</si>
  <si>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</si>
  <si>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</si>
  <si>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</si>
  <si>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</si>
  <si>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</si>
  <si>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</si>
  <si>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</si>
  <si>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</si>
  <si>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</si>
  <si>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</si>
  <si>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</si>
  <si>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</si>
  <si>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</si>
  <si>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</si>
  <si>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</si>
  <si>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</si>
  <si>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</si>
  <si>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</si>
  <si>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</si>
  <si>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</si>
  <si>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</si>
  <si>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</si>
  <si>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</si>
  <si>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</si>
  <si>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</si>
  <si>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</si>
  <si>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</si>
  <si>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</si>
  <si>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</si>
  <si>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</si>
  <si>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</si>
  <si>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</si>
  <si>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</si>
  <si>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</si>
  <si>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</si>
  <si>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</si>
  <si>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</si>
  <si>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</si>
  <si>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</si>
  <si>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</si>
  <si>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</si>
  <si>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</si>
  <si>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</si>
  <si>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</si>
  <si>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</si>
  <si>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</si>
  <si>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</si>
  <si>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</si>
  <si>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</si>
  <si>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</si>
  <si>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</si>
  <si>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</si>
  <si>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</si>
  <si>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</si>
  <si>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</si>
  <si>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</si>
  <si>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</si>
  <si>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</si>
  <si>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</si>
  <si>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</si>
  <si>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</si>
  <si>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</si>
  <si>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</si>
  <si>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</si>
  <si>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</si>
  <si>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</si>
  <si>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</si>
  <si>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</si>
  <si>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</si>
  <si>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</si>
  <si>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</si>
  <si>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</si>
  <si>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</si>
  <si>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</si>
  <si>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</si>
  <si>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</si>
  <si>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</si>
  <si>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</si>
  <si>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</si>
  <si>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</si>
  <si>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</si>
  <si>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</si>
  <si>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</si>
  <si>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</si>
  <si>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</si>
  <si>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</si>
  <si>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</si>
  <si>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</si>
  <si>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</si>
  <si>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</si>
  <si>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</si>
  <si>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</si>
  <si>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</si>
  <si>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</si>
  <si>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</si>
  <si>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</si>
  <si>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</si>
  <si>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</si>
  <si>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</si>
  <si>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</si>
  <si>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</si>
  <si>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</si>
  <si>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</si>
  <si>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</si>
  <si>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</si>
  <si>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</si>
  <si>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</si>
  <si>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</si>
  <si>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</si>
  <si>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</si>
  <si>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</si>
  <si>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</si>
  <si>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</si>
  <si>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</si>
  <si>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</si>
  <si>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</si>
  <si>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</si>
  <si>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</si>
  <si>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</si>
  <si>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</si>
  <si>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</si>
  <si>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</si>
  <si>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</si>
  <si>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</si>
  <si>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</si>
  <si>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</si>
  <si>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</si>
  <si>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</si>
  <si>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</si>
  <si>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</si>
  <si>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</si>
  <si>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</si>
  <si>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</si>
  <si>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</si>
  <si>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</si>
  <si>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</si>
  <si>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</si>
  <si>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</si>
  <si>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</si>
  <si>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</si>
  <si>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</si>
  <si>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</si>
  <si>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</si>
  <si>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</si>
  <si>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</si>
  <si>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</si>
  <si>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</si>
  <si>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</si>
  <si>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</si>
  <si>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</si>
  <si>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</si>
  <si>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</si>
  <si>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</si>
  <si>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</si>
  <si>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</si>
  <si>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</si>
  <si>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</si>
  <si>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</si>
  <si>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</si>
  <si>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</si>
  <si>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</si>
  <si>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</si>
  <si>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</si>
  <si>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</si>
  <si>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</si>
  <si>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</si>
  <si>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</si>
  <si>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</si>
  <si>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</si>
  <si>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</si>
  <si>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</si>
  <si>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</si>
  <si>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</si>
  <si>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</si>
  <si>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</si>
  <si>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</si>
  <si>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</si>
  <si>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</si>
  <si>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</si>
  <si>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</si>
  <si>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</si>
  <si>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</si>
  <si>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</si>
  <si>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</si>
  <si>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</si>
  <si>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</si>
  <si>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</si>
  <si>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</si>
  <si>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</si>
  <si>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</si>
  <si>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</si>
  <si>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</si>
  <si>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</si>
  <si>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</si>
  <si>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</si>
  <si>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</si>
  <si>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</si>
  <si>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</si>
  <si>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</si>
  <si>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</si>
  <si>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</si>
  <si>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</si>
  <si>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</si>
  <si>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</si>
  <si>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</si>
  <si>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</si>
  <si>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</si>
  <si>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</si>
  <si>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</si>
  <si>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</si>
  <si>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</si>
  <si>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</si>
  <si>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</si>
  <si>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</si>
  <si>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</si>
  <si>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</si>
  <si>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</si>
  <si>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</si>
  <si>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</si>
  <si>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</si>
  <si>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</si>
  <si>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</si>
  <si>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</si>
  <si>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</si>
  <si>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</si>
  <si>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</si>
  <si>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</si>
  <si>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</si>
  <si>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</si>
  <si>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</si>
  <si>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</si>
  <si>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</si>
  <si>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</si>
  <si>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</si>
  <si>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</si>
  <si>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</si>
  <si>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</si>
  <si>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</si>
  <si>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</si>
  <si>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</si>
  <si>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</si>
  <si>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</si>
  <si>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</si>
  <si>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</si>
  <si>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</si>
  <si>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</si>
  <si>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</si>
  <si>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</si>
  <si>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</si>
  <si>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</si>
  <si>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</si>
  <si>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</si>
  <si>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</si>
  <si>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</si>
  <si>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</si>
  <si>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</si>
  <si>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</si>
  <si>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</si>
  <si>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</si>
  <si>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</si>
  <si>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</si>
  <si>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</si>
  <si>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</si>
  <si>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</si>
  <si>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</si>
  <si>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</si>
  <si>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</si>
  <si>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</si>
  <si>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</si>
  <si>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</si>
  <si>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</si>
  <si>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</si>
  <si>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</si>
  <si>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</si>
  <si>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</si>
  <si>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</si>
  <si>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</si>
  <si>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</si>
  <si>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</si>
  <si>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</si>
  <si>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</si>
  <si>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</si>
  <si>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</si>
  <si>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</si>
  <si>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</si>
  <si>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</si>
  <si>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</si>
  <si>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</si>
  <si>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</si>
  <si>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</si>
  <si>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</si>
  <si>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</si>
  <si>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</si>
  <si>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</si>
  <si>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</si>
  <si>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</si>
  <si>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</si>
  <si>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</si>
  <si>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</si>
  <si>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</si>
  <si>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</si>
  <si>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</si>
  <si>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</si>
  <si>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</si>
  <si>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</si>
  <si>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</si>
  <si>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</si>
  <si>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</si>
  <si>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</si>
  <si>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</si>
  <si>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</si>
  <si>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</si>
  <si>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</si>
  <si>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</si>
  <si>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</si>
  <si>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</si>
  <si>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</si>
  <si>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</si>
  <si>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</si>
  <si>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</si>
  <si>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</si>
  <si>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</si>
  <si>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</si>
  <si>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</si>
  <si>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</si>
  <si>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</si>
  <si>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</si>
  <si>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</si>
  <si>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</si>
  <si>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</si>
  <si>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</si>
  <si>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</si>
  <si>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</si>
  <si>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</si>
  <si>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</si>
  <si>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</si>
  <si>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</si>
  <si>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</si>
  <si>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</si>
  <si>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</si>
  <si>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</si>
  <si>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</si>
  <si>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</si>
  <si>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</si>
  <si>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</si>
  <si>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</si>
  <si>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</si>
  <si>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</si>
  <si>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</si>
  <si>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</si>
  <si>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</si>
  <si>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</si>
  <si>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</si>
  <si>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</si>
  <si>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</si>
  <si>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</si>
  <si>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</si>
  <si>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</si>
  <si>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</si>
  <si>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</si>
  <si>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</si>
  <si>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</si>
  <si>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</si>
  <si>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</si>
  <si>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</si>
  <si>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</si>
  <si>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</si>
  <si>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</si>
  <si>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</si>
  <si>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</si>
  <si>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</si>
  <si>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</si>
  <si>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</si>
  <si>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</si>
  <si>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</si>
  <si>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</si>
  <si>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</si>
  <si>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</si>
  <si>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</si>
  <si>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</si>
  <si>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</si>
  <si>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</si>
  <si>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</si>
  <si>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</si>
  <si>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</si>
  <si>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</si>
  <si>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</si>
  <si>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</si>
  <si>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</si>
  <si>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</si>
  <si>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</si>
  <si>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</si>
  <si>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</si>
  <si>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</si>
  <si>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</si>
  <si>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</si>
  <si>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</si>
  <si>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</si>
  <si>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</si>
  <si>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</si>
  <si>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</si>
  <si>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</si>
  <si>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</si>
  <si>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</si>
  <si>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</si>
  <si>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</si>
  <si>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</si>
  <si>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</si>
  <si>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</si>
  <si>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</si>
  <si>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</si>
  <si>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</si>
  <si>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</si>
  <si>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</si>
  <si>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</si>
  <si>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</si>
  <si>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</si>
  <si>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</si>
  <si>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</si>
  <si>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</si>
  <si>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</si>
  <si>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</si>
  <si>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</si>
  <si>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</si>
  <si>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</si>
  <si>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</si>
  <si>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</si>
  <si>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</si>
  <si>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</si>
  <si>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</si>
  <si>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</si>
  <si>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</si>
  <si>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</si>
  <si>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</si>
  <si>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</si>
  <si>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</si>
  <si>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</si>
  <si>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</si>
  <si>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</si>
  <si>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</si>
  <si>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</si>
  <si>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</si>
  <si>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</si>
  <si>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</si>
  <si>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</si>
  <si>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</si>
  <si>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</si>
  <si>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</si>
  <si>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</si>
  <si>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</si>
  <si>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</si>
  <si>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</si>
  <si>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</si>
  <si>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</si>
  <si>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</si>
  <si>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</si>
  <si>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</si>
  <si>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</si>
  <si>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</si>
  <si>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</si>
  <si>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</si>
  <si>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</si>
  <si>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</si>
  <si>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</si>
  <si>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</si>
  <si>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</si>
  <si>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</si>
  <si>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</si>
  <si>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</si>
  <si>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</si>
  <si>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</si>
  <si>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</si>
  <si>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</si>
  <si>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</si>
  <si>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</si>
  <si>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</si>
  <si>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</si>
  <si>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</si>
  <si>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</si>
  <si>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</si>
  <si>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</si>
  <si>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</si>
  <si>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</si>
  <si>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</si>
  <si>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</si>
  <si>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</si>
  <si>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</si>
  <si>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</si>
  <si>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</si>
  <si>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</si>
  <si>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</si>
  <si>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</si>
  <si>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</si>
  <si>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</si>
  <si>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</si>
  <si>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</si>
  <si>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</si>
  <si>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</si>
  <si>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</si>
  <si>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</si>
  <si>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</si>
  <si>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</si>
  <si>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</si>
  <si>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</si>
  <si>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</si>
  <si>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</si>
  <si>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</si>
  <si>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</si>
  <si>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</si>
  <si>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</si>
  <si>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</si>
  <si>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</si>
  <si>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</si>
  <si>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</si>
  <si>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</si>
  <si>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</si>
  <si>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</si>
  <si>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</si>
  <si>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</si>
  <si>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</si>
  <si>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</si>
  <si>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</si>
  <si>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</si>
  <si>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</si>
  <si>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</si>
  <si>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</si>
  <si>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</si>
  <si>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</si>
  <si>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</si>
  <si>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</si>
  <si>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</si>
  <si>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</si>
  <si>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</si>
  <si>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</si>
  <si>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</si>
  <si>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</si>
  <si>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</si>
  <si>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</si>
  <si>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</si>
  <si>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</si>
  <si>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</si>
  <si>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</si>
  <si>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</si>
  <si>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</si>
  <si>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</si>
  <si>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</si>
  <si>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</si>
  <si>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</si>
  <si>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</si>
  <si>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</si>
  <si>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</si>
  <si>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</si>
  <si>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</si>
  <si>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</si>
  <si>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</si>
  <si>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</si>
  <si>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</si>
  <si>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</si>
  <si>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</si>
  <si>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</si>
  <si>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</si>
  <si>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</si>
  <si>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</si>
  <si>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</si>
  <si>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</si>
  <si>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</si>
  <si>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</si>
  <si>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</si>
  <si>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</si>
  <si>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</si>
  <si>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</si>
  <si>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</si>
  <si>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</si>
  <si>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</si>
  <si>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</si>
  <si>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</si>
  <si>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</si>
  <si>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</si>
  <si>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</si>
  <si>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</si>
  <si>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</si>
  <si>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</si>
  <si>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</si>
  <si>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</si>
  <si>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</si>
  <si>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</si>
  <si>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</si>
  <si>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</si>
  <si>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</si>
  <si>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</si>
  <si>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</si>
  <si>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</si>
  <si>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</si>
  <si>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</si>
  <si>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</si>
  <si>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</si>
  <si>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</si>
  <si>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</si>
  <si>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</si>
  <si>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</si>
  <si>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</si>
  <si>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</si>
  <si>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</si>
  <si>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</si>
  <si>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</si>
  <si>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</si>
  <si>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</si>
  <si>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</si>
  <si>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</si>
  <si>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</si>
  <si>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</si>
  <si>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</si>
  <si>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</si>
  <si>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</si>
  <si>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</si>
  <si>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</si>
  <si>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</si>
  <si>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</si>
  <si>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</si>
  <si>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</si>
  <si>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</si>
  <si>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</si>
  <si>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</si>
  <si>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</si>
  <si>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</si>
  <si>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</si>
  <si>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</si>
  <si>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</si>
  <si>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</si>
  <si>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</si>
  <si>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</si>
  <si>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</si>
  <si>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</si>
  <si>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</si>
  <si>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</si>
  <si>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</si>
  <si>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</si>
  <si>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</si>
  <si>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</si>
  <si>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</si>
  <si>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</si>
  <si>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</si>
  <si>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</si>
  <si>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</si>
  <si>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</si>
  <si>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</si>
  <si>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</si>
  <si>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</si>
  <si>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</si>
  <si>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</si>
  <si>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</si>
  <si>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</si>
  <si>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</si>
  <si>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</si>
  <si>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</si>
  <si>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</si>
  <si>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</si>
  <si>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</si>
  <si>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</si>
  <si>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</si>
  <si>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</si>
  <si>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</si>
  <si>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</si>
  <si>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</si>
  <si>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</si>
  <si>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</si>
  <si>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</si>
  <si>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</si>
  <si>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</si>
  <si>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</si>
  <si>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</si>
  <si>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</si>
  <si>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</si>
  <si>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</si>
  <si>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</si>
  <si>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</si>
  <si>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</si>
  <si>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</si>
  <si>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</si>
  <si>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</si>
  <si>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</si>
  <si>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</si>
  <si>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</si>
  <si>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</si>
  <si>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</si>
  <si>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</si>
  <si>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</si>
  <si>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</si>
  <si>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</si>
  <si>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</si>
  <si>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</si>
  <si>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</si>
  <si>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</si>
  <si>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</si>
  <si>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</si>
  <si>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</si>
  <si>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</si>
  <si>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</si>
  <si>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</si>
  <si>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</si>
  <si>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</si>
  <si>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</si>
  <si>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</si>
  <si>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</si>
  <si>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</si>
  <si>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</si>
  <si>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</si>
  <si>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</si>
  <si>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</si>
  <si>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</si>
  <si>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</si>
  <si>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</si>
  <si>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</si>
  <si>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</si>
  <si>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</si>
  <si>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</si>
  <si>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</si>
  <si>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</si>
  <si>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</si>
  <si>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</si>
  <si>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</si>
  <si>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</si>
  <si>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</si>
  <si>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</si>
  <si>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</si>
  <si>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</si>
  <si>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</si>
  <si>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</si>
  <si>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</si>
  <si>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</si>
  <si>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</si>
  <si>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</si>
  <si>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</si>
  <si>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</si>
  <si>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</si>
  <si>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</si>
  <si>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</si>
  <si>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</si>
  <si>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</si>
  <si>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</si>
  <si>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</si>
  <si>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</si>
  <si>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</si>
  <si>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</si>
  <si>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</si>
  <si>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</si>
  <si>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</si>
  <si>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</si>
  <si>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</si>
  <si>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</si>
  <si>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</si>
  <si>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</si>
  <si>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</si>
  <si>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</si>
  <si>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</si>
  <si>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</si>
  <si>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</si>
  <si>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</si>
  <si>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</si>
  <si>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</si>
  <si>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</si>
  <si>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</si>
  <si>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</si>
  <si>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</si>
  <si>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</si>
  <si>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</si>
  <si>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</si>
  <si>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</si>
  <si>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</si>
  <si>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</si>
  <si>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</si>
  <si>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</si>
  <si>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</si>
  <si>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</si>
  <si>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</si>
  <si>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</si>
  <si>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</si>
  <si>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</si>
  <si>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</si>
  <si>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</si>
  <si>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</si>
  <si>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</si>
  <si>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</si>
  <si>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</si>
  <si>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</si>
  <si>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</si>
  <si>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</si>
  <si>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</si>
  <si>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</si>
  <si>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</si>
  <si>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</si>
  <si>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</si>
  <si>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</si>
  <si>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</si>
  <si>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</si>
  <si>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</si>
  <si>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</si>
  <si>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</si>
  <si>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</si>
  <si>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</si>
  <si>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</si>
  <si>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</si>
  <si>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</si>
  <si>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</si>
  <si>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</si>
  <si>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</si>
  <si>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</si>
  <si>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</si>
  <si>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</si>
  <si>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</si>
  <si>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</si>
  <si>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</si>
  <si>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</si>
  <si>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</si>
  <si>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</si>
  <si>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</si>
  <si>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</si>
  <si>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</si>
  <si>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</si>
  <si>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</si>
  <si>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</si>
  <si>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</si>
  <si>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</si>
  <si>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</si>
  <si>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</si>
  <si>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</si>
  <si>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</si>
  <si>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</si>
  <si>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</si>
  <si>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</si>
  <si>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</si>
  <si>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</si>
  <si>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</si>
  <si>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</si>
  <si>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</si>
  <si>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</si>
  <si>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</si>
  <si>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</si>
  <si>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</si>
  <si>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</si>
  <si>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</si>
  <si>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</si>
  <si>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</si>
  <si>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</si>
  <si>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</si>
  <si>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</si>
  <si>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</si>
  <si>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</si>
  <si>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</si>
  <si>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</si>
  <si>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</si>
  <si>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</si>
  <si>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</si>
  <si>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</si>
  <si>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</si>
  <si>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</si>
  <si>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</si>
  <si>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</si>
  <si>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</si>
  <si>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</si>
  <si>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</si>
  <si>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</si>
  <si>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</si>
  <si>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</si>
  <si>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</si>
  <si>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</si>
  <si>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</si>
  <si>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</si>
  <si>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</si>
  <si>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</si>
  <si>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</si>
  <si>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</si>
  <si>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</si>
  <si>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</si>
  <si>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</si>
  <si>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</si>
  <si>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</si>
  <si>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</si>
  <si>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</si>
  <si>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</si>
  <si>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</si>
  <si>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</si>
  <si>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</si>
  <si>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</si>
  <si>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</si>
  <si>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</si>
  <si>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</si>
  <si>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</si>
  <si>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</si>
  <si>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</si>
  <si>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</si>
  <si>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</si>
  <si>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</si>
  <si>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</si>
  <si>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</si>
  <si>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</si>
  <si>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</si>
  <si>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</si>
  <si>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</si>
  <si>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</si>
  <si>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</si>
  <si>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</si>
  <si>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</si>
  <si>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</si>
  <si>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</si>
  <si>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</si>
  <si>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</si>
  <si>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</si>
  <si>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</si>
  <si>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</si>
  <si>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</si>
  <si>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</si>
  <si>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</si>
  <si>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</si>
  <si>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</si>
  <si>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</si>
  <si>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</si>
  <si>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</si>
  <si>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</si>
  <si>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</si>
  <si>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</si>
  <si>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</si>
  <si>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</si>
  <si>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</si>
  <si>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</si>
  <si>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</si>
  <si>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</si>
  <si>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</si>
  <si>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</si>
  <si>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</si>
  <si>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</si>
  <si>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</si>
  <si>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</si>
  <si>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</si>
  <si>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</si>
  <si>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</si>
  <si>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</si>
  <si>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</si>
  <si>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</si>
  <si>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</si>
  <si>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</si>
  <si>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</si>
  <si>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</si>
  <si>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</si>
  <si>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</si>
  <si>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</si>
  <si>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</si>
  <si>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</si>
  <si>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</si>
  <si>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</si>
  <si>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</si>
  <si>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</si>
  <si>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</si>
  <si>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</si>
  <si>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</si>
  <si>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</si>
  <si>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</si>
  <si>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</si>
  <si>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</si>
  <si>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</si>
  <si>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</si>
  <si>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</si>
  <si>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</si>
  <si>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</si>
  <si>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</si>
  <si>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</si>
  <si>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</si>
  <si>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</si>
  <si>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</si>
  <si>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</si>
  <si>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</si>
  <si>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</si>
  <si>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</si>
  <si>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</si>
  <si>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</si>
  <si>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</si>
  <si>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</si>
  <si>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</si>
  <si>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</si>
  <si>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</si>
  <si>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</si>
  <si>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</si>
  <si>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</si>
  <si>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</si>
  <si>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</si>
  <si>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</si>
  <si>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</si>
  <si>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</si>
  <si>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</si>
  <si>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</si>
  <si>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</si>
  <si>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</si>
  <si>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</si>
  <si>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</si>
  <si>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</si>
  <si>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</si>
  <si>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</si>
  <si>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</si>
  <si>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</si>
  <si>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</si>
  <si>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</si>
  <si>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</si>
  <si>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</si>
  <si>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</si>
  <si>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</si>
  <si>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</si>
  <si>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</si>
  <si>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</si>
  <si>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</si>
  <si>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</si>
  <si>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</si>
  <si>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</si>
  <si>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</si>
  <si>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</si>
  <si>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</si>
  <si>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</si>
  <si>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</si>
  <si>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</si>
  <si>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</si>
  <si>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</si>
  <si>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</si>
  <si>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</si>
  <si>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</si>
  <si>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</si>
  <si>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</si>
  <si>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</si>
  <si>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</si>
  <si>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</si>
  <si>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</si>
  <si>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</si>
  <si>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</si>
  <si>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</si>
  <si>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</si>
  <si>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</si>
  <si>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</si>
  <si>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</si>
  <si>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</si>
  <si>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</si>
  <si>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</si>
  <si>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</si>
  <si>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</si>
  <si>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</si>
  <si>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</si>
  <si>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</si>
  <si>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</si>
  <si>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</si>
  <si>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</si>
  <si>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</si>
  <si>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</si>
  <si>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</si>
  <si>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</si>
  <si>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</si>
  <si>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</si>
  <si>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</si>
  <si>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</si>
  <si>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</si>
  <si>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</si>
  <si>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</si>
  <si>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</si>
  <si>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</si>
  <si>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</si>
  <si>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</si>
  <si>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</si>
  <si>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</si>
  <si>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</si>
  <si>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</si>
  <si>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</si>
  <si>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</si>
  <si>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</si>
  <si>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</si>
  <si>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</si>
  <si>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</si>
  <si>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</si>
  <si>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</si>
  <si>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</si>
  <si>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</si>
  <si>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</si>
  <si>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</si>
  <si>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</si>
  <si>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</si>
  <si>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</si>
  <si>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</si>
  <si>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</si>
  <si>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</si>
  <si>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</si>
  <si>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</si>
  <si>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</si>
  <si>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</si>
  <si>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</si>
  <si>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</si>
  <si>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</si>
  <si>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</si>
  <si>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</si>
  <si>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</si>
  <si>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</si>
  <si>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</si>
  <si>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</si>
  <si>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</si>
  <si>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</si>
  <si>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</si>
  <si>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</si>
  <si>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</si>
  <si>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</si>
  <si>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</si>
  <si>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</si>
  <si>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</si>
  <si>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</si>
  <si>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</si>
  <si>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</si>
  <si>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</si>
  <si>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</si>
  <si>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</si>
  <si>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</si>
  <si>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</si>
  <si>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</si>
  <si>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</si>
  <si>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</si>
  <si>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</si>
  <si>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</si>
  <si>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</si>
  <si>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</si>
  <si>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</si>
  <si>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</si>
  <si>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</si>
  <si>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</si>
  <si>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</si>
  <si>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</si>
  <si>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</si>
  <si>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</si>
  <si>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</si>
  <si>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</si>
  <si>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</si>
  <si>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</si>
  <si>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</si>
  <si>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</si>
  <si>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</si>
  <si>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</si>
  <si>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</si>
  <si>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</si>
  <si>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</si>
  <si>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</si>
  <si>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</si>
  <si>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</si>
  <si>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</si>
  <si>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</si>
  <si>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</si>
  <si>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</si>
  <si>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</si>
  <si>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</si>
  <si>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</si>
  <si>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</si>
  <si>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</si>
  <si>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</si>
  <si>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</si>
  <si>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</si>
  <si>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</si>
  <si>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</si>
  <si>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</si>
  <si>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</si>
  <si>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</si>
  <si>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</si>
  <si>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</si>
  <si>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</si>
  <si>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</si>
  <si>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</si>
  <si>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</si>
  <si>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</si>
  <si>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</si>
  <si>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</si>
  <si>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</si>
  <si>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</si>
  <si>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</si>
  <si>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</si>
  <si>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</si>
  <si>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</si>
  <si>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</si>
  <si>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</si>
  <si>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</si>
  <si>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</si>
  <si>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</si>
  <si>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</si>
  <si>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</si>
  <si>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</si>
  <si>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</si>
  <si>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</si>
  <si>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</si>
  <si>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</si>
  <si>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</si>
  <si>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</si>
  <si>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</si>
  <si>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</si>
  <si>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</si>
  <si>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</si>
  <si>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</si>
  <si>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</si>
  <si>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</si>
  <si>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</si>
  <si>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</si>
  <si>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</si>
  <si>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</si>
  <si>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</si>
  <si>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</si>
  <si>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</si>
  <si>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</si>
  <si>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</si>
  <si>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</si>
  <si>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</si>
  <si>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</si>
  <si>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</si>
  <si>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</si>
  <si>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</si>
  <si>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</si>
  <si>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</si>
  <si>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</si>
  <si>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</si>
  <si>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</si>
  <si>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</si>
  <si>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</si>
  <si>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</si>
  <si>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</si>
  <si>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</si>
  <si>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</si>
  <si>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</si>
  <si>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</si>
  <si>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</si>
  <si>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</si>
  <si>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</si>
  <si>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</si>
  <si>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</si>
  <si>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</si>
  <si>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</si>
  <si>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</si>
  <si>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</si>
  <si>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</si>
  <si>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</si>
  <si>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</si>
  <si>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</si>
  <si>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</si>
  <si>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</si>
  <si>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</si>
  <si>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</si>
  <si>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</si>
  <si>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</si>
  <si>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</si>
  <si>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</si>
  <si>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</si>
  <si>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</si>
  <si>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</si>
  <si>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</si>
  <si>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</si>
  <si>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</si>
  <si>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</si>
  <si>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</si>
  <si>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</si>
  <si>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</si>
  <si>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</si>
  <si>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</si>
  <si>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</si>
  <si>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</si>
  <si>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</si>
  <si>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</si>
  <si>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</si>
  <si>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</si>
  <si>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</si>
  <si>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</si>
  <si>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</si>
  <si>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</si>
  <si>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</si>
  <si>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</si>
  <si>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</si>
  <si>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</si>
  <si>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</si>
  <si>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</si>
  <si>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</si>
  <si>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</si>
  <si>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</si>
  <si>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</si>
  <si>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</si>
  <si>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</si>
  <si>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</si>
  <si>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</si>
  <si>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</si>
  <si>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</si>
  <si>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</si>
  <si>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</si>
  <si>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</si>
  <si>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</si>
  <si>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</si>
  <si>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</si>
  <si>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</si>
  <si>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</si>
  <si>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</si>
  <si>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</si>
  <si>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</si>
  <si>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</si>
  <si>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</si>
  <si>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</si>
  <si>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</si>
  <si>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</si>
  <si>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</si>
  <si>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</si>
  <si>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</si>
  <si>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</si>
  <si>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</si>
  <si>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</si>
  <si>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</si>
  <si>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</si>
  <si>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</si>
  <si>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</si>
  <si>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</si>
  <si>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</si>
  <si>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</si>
  <si>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</si>
  <si>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</si>
  <si>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</si>
  <si>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</si>
  <si>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</si>
  <si>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</si>
  <si>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</si>
  <si>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</si>
  <si>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</si>
  <si>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</si>
  <si>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</si>
  <si>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</si>
  <si>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</si>
  <si>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</si>
  <si>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</si>
  <si>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</si>
  <si>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</si>
  <si>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</si>
  <si>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</si>
  <si>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</si>
  <si>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</si>
  <si>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</si>
  <si>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</si>
  <si>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</si>
  <si>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</si>
  <si>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</si>
  <si>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</si>
  <si>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</si>
  <si>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</si>
  <si>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</si>
  <si>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</si>
  <si>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</si>
  <si>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</si>
  <si>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</si>
  <si>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</si>
  <si>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</si>
  <si>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</si>
  <si>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</si>
  <si>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</si>
  <si>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</si>
  <si>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</si>
  <si>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</si>
  <si>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</si>
  <si>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</si>
  <si>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</si>
  <si>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</si>
  <si>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</si>
  <si>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</si>
  <si>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</si>
  <si>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</si>
  <si>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</si>
  <si>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</si>
  <si>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</si>
  <si>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</si>
  <si>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</si>
  <si>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</si>
  <si>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</si>
  <si>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</si>
  <si>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</si>
  <si>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</si>
  <si>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</si>
  <si>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</si>
  <si>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</si>
  <si>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</si>
  <si>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</si>
  <si>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</si>
  <si>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</si>
  <si>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</si>
  <si>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</si>
  <si>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</si>
  <si>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</si>
  <si>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</si>
  <si>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</si>
  <si>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</si>
  <si>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</si>
  <si>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</si>
  <si>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</si>
  <si>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</si>
  <si>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</si>
  <si>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</si>
  <si>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</si>
  <si>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</si>
  <si>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</si>
  <si>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</si>
  <si>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</si>
  <si>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</si>
  <si>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</si>
  <si>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</si>
  <si>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</si>
  <si>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</si>
  <si>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</si>
  <si>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</si>
  <si>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</si>
  <si>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</si>
  <si>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</si>
  <si>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</si>
  <si>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</si>
  <si>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</si>
  <si>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</si>
  <si>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</si>
  <si>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</si>
  <si>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</si>
  <si>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</si>
  <si>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</si>
  <si>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</si>
  <si>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</si>
  <si>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</si>
  <si>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</si>
  <si>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</si>
  <si>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</si>
  <si>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</si>
  <si>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</si>
  <si>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</si>
  <si>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</si>
  <si>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</si>
  <si>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</si>
  <si>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</si>
  <si>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</si>
  <si>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</si>
  <si>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</si>
  <si>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</si>
  <si>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</si>
  <si>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</si>
  <si>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</si>
  <si>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</si>
  <si>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</si>
  <si>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</si>
  <si>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</si>
  <si>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</si>
  <si>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</si>
  <si>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</si>
  <si>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</si>
  <si>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</si>
  <si>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</si>
  <si>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</si>
  <si>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</si>
  <si>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</si>
  <si>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</si>
  <si>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</si>
  <si>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</si>
  <si>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</si>
  <si>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</si>
  <si>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</si>
  <si>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</si>
  <si>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</si>
  <si>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</si>
  <si>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</si>
  <si>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</si>
  <si>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</si>
  <si>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</si>
  <si>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</si>
  <si>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</si>
  <si>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</si>
  <si>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</si>
  <si>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</si>
  <si>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</si>
  <si>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</si>
  <si>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</si>
  <si>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</si>
  <si>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</si>
  <si>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</si>
  <si>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</si>
  <si>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</si>
  <si>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</si>
  <si>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</si>
  <si>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</si>
  <si>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</si>
  <si>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</si>
  <si>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</si>
  <si>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</si>
  <si>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</si>
  <si>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</si>
  <si>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</si>
  <si>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</si>
  <si>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</si>
  <si>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</si>
  <si>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</si>
  <si>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</si>
  <si>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</si>
  <si>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</si>
  <si>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</si>
  <si>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</si>
  <si>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</si>
  <si>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</si>
  <si>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</si>
  <si>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</si>
  <si>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</si>
  <si>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</si>
  <si>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</si>
  <si>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</si>
  <si>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</si>
  <si>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</si>
  <si>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</si>
  <si>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</si>
  <si>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</si>
  <si>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</si>
  <si>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</si>
  <si>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</si>
  <si>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</si>
  <si>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</si>
  <si>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</si>
  <si>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</si>
  <si>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</si>
  <si>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</si>
  <si>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</si>
  <si>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</si>
  <si>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</si>
  <si>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</si>
  <si>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</si>
  <si>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</si>
  <si>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</si>
  <si>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</si>
  <si>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</si>
  <si>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</si>
  <si>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</si>
  <si>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</si>
  <si>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</si>
  <si>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</si>
  <si>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</si>
  <si>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</si>
  <si>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</si>
  <si>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</si>
  <si>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</si>
  <si>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</si>
  <si>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</si>
  <si>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</si>
  <si>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</si>
  <si>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</si>
  <si>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</si>
  <si>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</si>
  <si>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</si>
  <si>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</si>
  <si>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</si>
  <si>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</si>
  <si>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</si>
  <si>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</si>
  <si>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</si>
  <si>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</si>
  <si>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</si>
  <si>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</si>
  <si>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</si>
  <si>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</si>
  <si>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</si>
  <si>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</si>
  <si>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</si>
  <si>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</si>
  <si>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</si>
  <si>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</si>
  <si>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</si>
  <si>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</si>
  <si>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</si>
  <si>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</si>
  <si>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</si>
  <si>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</si>
  <si>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</si>
  <si>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</si>
  <si>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</si>
  <si>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</si>
  <si>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</si>
  <si>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</si>
  <si>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</si>
  <si>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</si>
  <si>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</si>
  <si>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</si>
  <si>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</si>
  <si>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</si>
  <si>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</si>
  <si>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</si>
  <si>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</si>
  <si>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</si>
  <si>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</si>
  <si>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</si>
  <si>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</si>
  <si>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</si>
  <si>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</si>
  <si>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</si>
  <si>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</si>
  <si>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</si>
  <si>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</si>
  <si>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</si>
  <si>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</si>
  <si>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</si>
  <si>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</si>
  <si>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</si>
  <si>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</si>
  <si>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</si>
  <si>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</si>
  <si>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</si>
  <si>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</si>
  <si>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</si>
  <si>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</si>
  <si>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</si>
  <si>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</si>
  <si>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</si>
  <si>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</si>
  <si>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</si>
  <si>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</si>
  <si>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</si>
  <si>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</si>
  <si>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</si>
  <si>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</si>
  <si>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</si>
  <si>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</si>
  <si>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</si>
  <si>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</si>
  <si>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</si>
  <si>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</si>
  <si>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</si>
  <si>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</si>
  <si>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</si>
  <si>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</si>
  <si>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</si>
  <si>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</si>
  <si>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</si>
  <si>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</si>
  <si>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</si>
  <si>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</si>
  <si>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</si>
  <si>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</si>
  <si>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</si>
  <si>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</si>
  <si>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</si>
  <si>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</si>
  <si>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</si>
  <si>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</si>
  <si>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</si>
  <si>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</si>
  <si>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</si>
  <si>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</si>
  <si>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</si>
  <si>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</si>
  <si>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</si>
  <si>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</si>
  <si>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</si>
  <si>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</si>
  <si>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</si>
  <si>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</si>
  <si>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</si>
  <si>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</si>
  <si>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</si>
  <si>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</si>
  <si>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</si>
  <si>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</si>
  <si>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</si>
  <si>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</si>
  <si>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</si>
  <si>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</si>
  <si>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</si>
  <si>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</si>
  <si>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</si>
  <si>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</si>
  <si>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</si>
  <si>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</si>
  <si>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</si>
  <si>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</si>
  <si>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</si>
  <si>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</si>
  <si>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</si>
  <si>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</si>
  <si>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</si>
  <si>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</si>
  <si>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</si>
  <si>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</si>
  <si>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</si>
  <si>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</si>
  <si>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</si>
  <si>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</si>
  <si>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</si>
  <si>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</si>
  <si>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</si>
  <si>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</si>
  <si>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</si>
  <si>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</si>
  <si>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</si>
  <si>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</si>
  <si>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</si>
  <si>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</si>
  <si>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</si>
  <si>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</si>
  <si>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</si>
  <si>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</si>
  <si>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</si>
  <si>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</si>
  <si>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</si>
  <si>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</si>
  <si>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</si>
  <si>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</si>
  <si>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</si>
  <si>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</si>
  <si>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</si>
  <si>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</si>
  <si>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</si>
  <si>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</si>
  <si>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</si>
  <si>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</si>
  <si>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</si>
  <si>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</si>
  <si>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</si>
  <si>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</si>
  <si>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</si>
  <si>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</si>
  <si>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</si>
  <si>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</si>
  <si>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</si>
  <si>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</si>
  <si>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</si>
  <si>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</si>
  <si>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</si>
  <si>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</si>
  <si>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</si>
  <si>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</si>
  <si>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</si>
  <si>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</si>
  <si>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</si>
  <si>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</si>
  <si>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</si>
  <si>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</si>
  <si>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</si>
  <si>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</si>
  <si>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</si>
  <si>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</si>
  <si>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</si>
  <si>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</si>
  <si>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</si>
  <si>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</si>
  <si>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</si>
  <si>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</si>
  <si>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</si>
  <si>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</si>
  <si>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</si>
  <si>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</si>
  <si>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</si>
  <si>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</si>
  <si>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</si>
  <si>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</si>
  <si>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</si>
  <si>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</si>
  <si>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</si>
  <si>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</si>
  <si>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</si>
  <si>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</si>
  <si>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</si>
  <si>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</si>
  <si>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</si>
  <si>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</si>
  <si>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</si>
  <si>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</si>
  <si>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</si>
  <si>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</si>
  <si>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</si>
  <si>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</si>
  <si>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</si>
  <si>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</si>
  <si>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</si>
  <si>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</si>
  <si>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</si>
  <si>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</si>
  <si>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</si>
  <si>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</si>
  <si>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</si>
  <si>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</si>
  <si>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</si>
  <si>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</si>
  <si>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</si>
  <si>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</si>
  <si>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</si>
  <si>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</si>
  <si>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</si>
  <si>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</si>
  <si>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</si>
  <si>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</si>
  <si>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</si>
  <si>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</si>
  <si>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</si>
  <si>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</si>
  <si>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</si>
  <si>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</si>
  <si>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</si>
  <si>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</si>
  <si>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</si>
  <si>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</si>
  <si>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</si>
  <si>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</si>
  <si>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</si>
  <si>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</si>
  <si>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</si>
  <si>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</si>
  <si>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</si>
  <si>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</si>
  <si>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</si>
  <si>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</si>
  <si>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</si>
  <si>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</si>
  <si>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</si>
  <si>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</si>
  <si>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</si>
  <si>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</si>
  <si>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</si>
  <si>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</si>
  <si>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</si>
  <si>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</si>
  <si>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</si>
  <si>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</si>
  <si>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</si>
  <si>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</si>
  <si>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</si>
  <si>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</si>
  <si>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</si>
  <si>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</si>
  <si>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</si>
  <si>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</si>
  <si>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</si>
  <si>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</si>
  <si>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</si>
  <si>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</si>
  <si>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</si>
  <si>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</si>
  <si>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</si>
  <si>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</si>
  <si>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</si>
  <si>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</si>
  <si>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</si>
  <si>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</si>
  <si>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</si>
  <si>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</si>
  <si>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</si>
  <si>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</si>
  <si>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</si>
  <si>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</si>
  <si>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</si>
  <si>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</si>
  <si>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</si>
  <si>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</si>
  <si>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</si>
  <si>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</si>
  <si>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</si>
  <si>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</si>
  <si>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</si>
  <si>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</si>
  <si>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</si>
  <si>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</si>
  <si>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</si>
  <si>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</si>
  <si>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</si>
  <si>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</si>
  <si>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</si>
  <si>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</si>
  <si>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</si>
  <si>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</si>
  <si>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</si>
  <si>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</si>
  <si>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</si>
  <si>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</si>
  <si>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</si>
  <si>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</si>
  <si>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</si>
  <si>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</si>
  <si>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</si>
  <si>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</si>
  <si>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</si>
  <si>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</si>
  <si>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</si>
  <si>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</si>
  <si>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</si>
  <si>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</si>
  <si>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</si>
  <si>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</si>
  <si>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</si>
  <si>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</si>
  <si>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</si>
  <si>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</si>
  <si>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</si>
  <si>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</si>
  <si>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</si>
  <si>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</si>
  <si>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</si>
  <si>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</si>
  <si>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</si>
  <si>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</si>
  <si>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</si>
  <si>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</si>
  <si>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</si>
  <si>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</si>
  <si>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</si>
  <si>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</si>
  <si>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</si>
  <si>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</si>
  <si>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</si>
  <si>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</si>
  <si>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</si>
  <si>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</si>
  <si>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</si>
  <si>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</si>
  <si>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</si>
  <si>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</si>
  <si>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</si>
  <si>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</si>
  <si>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</si>
  <si>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</si>
  <si>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</si>
  <si>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</si>
  <si>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</si>
  <si>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</si>
  <si>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</si>
  <si>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</si>
  <si>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</si>
  <si>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</si>
  <si>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</si>
  <si>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</si>
  <si>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</si>
  <si>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</si>
  <si>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</si>
  <si>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</si>
  <si>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</si>
  <si>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</si>
  <si>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</si>
  <si>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</si>
  <si>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</si>
  <si>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</si>
  <si>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</si>
  <si>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</si>
  <si>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</si>
  <si>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</si>
  <si>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</si>
  <si>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</si>
  <si>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</si>
  <si>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</si>
  <si>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</si>
  <si>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</si>
  <si>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</si>
  <si>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</si>
  <si>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</si>
  <si>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</si>
  <si>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</si>
  <si>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</si>
  <si>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</si>
  <si>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</si>
  <si>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</si>
  <si>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</si>
  <si>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</si>
  <si>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</si>
  <si>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</si>
  <si>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</si>
  <si>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</si>
  <si>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</si>
  <si>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</si>
  <si>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</si>
  <si>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</si>
  <si>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</si>
  <si>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</si>
  <si>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</si>
  <si>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</si>
  <si>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</si>
  <si>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</si>
  <si>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</si>
  <si>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</si>
  <si>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</si>
  <si>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</si>
  <si>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</si>
  <si>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</si>
  <si>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</si>
  <si>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</si>
  <si>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</si>
  <si>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</si>
  <si>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</si>
  <si>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</si>
  <si>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</si>
  <si>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</si>
  <si>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</si>
  <si>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</si>
  <si>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</si>
  <si>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</si>
  <si>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</si>
  <si>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</si>
  <si>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</si>
  <si>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</si>
  <si>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</si>
  <si>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</si>
  <si>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</si>
  <si>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</si>
  <si>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</si>
  <si>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</si>
  <si>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</si>
  <si>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</si>
  <si>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</si>
  <si>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</si>
  <si>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</si>
  <si>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</si>
  <si>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</si>
  <si>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</si>
  <si>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</si>
  <si>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</si>
  <si>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</si>
  <si>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</si>
  <si>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</si>
  <si>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</si>
  <si>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</si>
  <si>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</si>
  <si>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</si>
  <si>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</si>
  <si>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</si>
  <si>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</si>
  <si>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</si>
  <si>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</si>
  <si>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</si>
  <si>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</si>
  <si>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</si>
  <si>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</si>
  <si>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</si>
  <si>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</si>
  <si>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</si>
  <si>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</si>
  <si>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</si>
  <si>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</si>
  <si>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</si>
  <si>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</si>
  <si>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</si>
  <si>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</si>
  <si>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</si>
  <si>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</si>
  <si>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</si>
  <si>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</si>
  <si>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</si>
  <si>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</si>
  <si>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</si>
  <si>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</si>
  <si>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</si>
  <si>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</si>
  <si>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</si>
  <si>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</si>
  <si>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</si>
  <si>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</si>
  <si>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</si>
  <si>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</si>
  <si>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</si>
  <si>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</si>
  <si>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</si>
  <si>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</si>
  <si>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</si>
  <si>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</si>
  <si>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</si>
  <si>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</si>
  <si>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</si>
  <si>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</si>
  <si>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</si>
  <si>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</si>
  <si>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</si>
  <si>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</si>
  <si>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</si>
  <si>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</si>
  <si>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</si>
  <si>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</si>
  <si>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</si>
  <si>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</si>
  <si>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</si>
  <si>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</si>
  <si>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</si>
  <si>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</si>
  <si>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</si>
  <si>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</si>
  <si>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</si>
  <si>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</si>
  <si>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</si>
  <si>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</si>
  <si>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</si>
  <si>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</si>
  <si>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</si>
  <si>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</si>
  <si>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</si>
  <si>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</si>
  <si>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</si>
  <si>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</si>
  <si>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</si>
  <si>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</si>
  <si>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</si>
  <si>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</si>
  <si>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</si>
  <si>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</si>
  <si>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</si>
  <si>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</si>
  <si>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</si>
  <si>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</si>
  <si>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</si>
  <si>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</si>
  <si>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</si>
  <si>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</si>
  <si>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</si>
  <si>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</si>
  <si>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</si>
  <si>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</si>
  <si>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</si>
  <si>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</si>
  <si>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</si>
  <si>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</si>
  <si>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</si>
  <si>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</si>
  <si>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</si>
  <si>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</si>
  <si>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</si>
  <si>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</si>
  <si>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</si>
  <si>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</si>
  <si>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</si>
  <si>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</si>
  <si>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</si>
  <si>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</si>
  <si>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</si>
  <si>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</si>
  <si>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</si>
  <si>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</si>
  <si>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</si>
  <si>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</si>
  <si>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</si>
  <si>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</si>
  <si>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</si>
  <si>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</si>
  <si>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</si>
  <si>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</si>
  <si>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</si>
  <si>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</si>
  <si>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</si>
  <si>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</si>
  <si>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</si>
  <si>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</si>
  <si>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</si>
  <si>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</si>
  <si>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</si>
  <si>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</si>
  <si>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</si>
  <si>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</si>
  <si>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</si>
  <si>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</si>
  <si>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</si>
  <si>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</si>
  <si>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</si>
  <si>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</si>
  <si>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</si>
  <si>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</si>
  <si>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</si>
  <si>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</si>
  <si>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</si>
  <si>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</si>
  <si>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</si>
  <si>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</si>
  <si>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</si>
  <si>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</si>
  <si>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</si>
  <si>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</si>
  <si>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</si>
  <si>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</si>
  <si>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</si>
  <si>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</si>
  <si>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</si>
  <si>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</si>
  <si>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</si>
  <si>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</si>
  <si>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</si>
  <si>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</si>
  <si>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</si>
  <si>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</si>
  <si>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</si>
  <si>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</si>
  <si>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</si>
  <si>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</si>
  <si>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</si>
  <si>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</si>
  <si>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</si>
  <si>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</si>
  <si>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</si>
  <si>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</si>
  <si>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</si>
  <si>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</si>
  <si>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</si>
  <si>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</si>
  <si>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</si>
  <si>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</si>
  <si>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</si>
  <si>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</si>
  <si>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</si>
  <si>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</si>
  <si>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</si>
  <si>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</si>
  <si>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</si>
  <si>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</si>
  <si>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</si>
  <si>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</si>
  <si>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</si>
  <si>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</si>
  <si>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</si>
  <si>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</si>
  <si>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</si>
  <si>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</si>
  <si>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</si>
  <si>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</si>
  <si>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</si>
  <si>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</si>
  <si>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</si>
  <si>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</si>
  <si>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</si>
  <si>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</si>
  <si>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</si>
  <si>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</si>
  <si>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</si>
  <si>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</si>
  <si>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</si>
  <si>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</si>
  <si>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</si>
  <si>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</si>
  <si>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</si>
  <si>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</si>
  <si>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</si>
  <si>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</si>
  <si>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</si>
  <si>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</si>
  <si>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</si>
  <si>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</si>
  <si>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</si>
  <si>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</si>
  <si>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</si>
  <si>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</si>
  <si>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</si>
  <si>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</si>
  <si>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</si>
  <si>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</si>
  <si>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</si>
  <si>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</si>
  <si>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</si>
  <si>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</si>
  <si>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</si>
  <si>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</si>
  <si>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</si>
  <si>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</si>
  <si>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</si>
  <si>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</si>
  <si>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</si>
  <si>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</si>
  <si>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</si>
  <si>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</si>
  <si>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</si>
  <si>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</si>
  <si>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</si>
  <si>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</si>
  <si>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</si>
  <si>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</si>
  <si>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</si>
  <si>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</si>
  <si>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</si>
  <si>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</si>
  <si>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</si>
  <si>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</si>
  <si>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</si>
  <si>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</si>
  <si>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</si>
  <si>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</si>
  <si>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</si>
  <si>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</si>
  <si>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</si>
  <si>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</si>
  <si>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</si>
  <si>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</si>
  <si>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</si>
  <si>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</si>
  <si>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</si>
  <si>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</si>
  <si>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</si>
  <si>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</si>
  <si>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</si>
  <si>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</si>
  <si>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</si>
  <si>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</si>
  <si>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</si>
  <si>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</si>
  <si>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</si>
  <si>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</si>
  <si>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</si>
  <si>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</si>
  <si>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</si>
  <si>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</si>
  <si>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</si>
  <si>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</si>
  <si>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</si>
  <si>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</si>
  <si>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</si>
  <si>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</si>
  <si>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</si>
  <si>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</si>
  <si>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</si>
  <si>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</si>
  <si>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</si>
  <si>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</si>
  <si>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</si>
  <si>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</si>
  <si>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</si>
  <si>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</si>
  <si>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</si>
  <si>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</si>
  <si>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</si>
  <si>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</si>
  <si>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</si>
  <si>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</si>
  <si>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</si>
  <si>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</si>
  <si>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</si>
  <si>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</si>
  <si>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</si>
  <si>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</si>
  <si>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</si>
  <si>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</si>
  <si>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</si>
  <si>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</si>
  <si>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</si>
  <si>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</si>
  <si>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</si>
  <si>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</si>
  <si>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</si>
  <si>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</si>
  <si>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</si>
  <si>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</si>
  <si>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</si>
  <si>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</si>
  <si>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</si>
  <si>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</si>
  <si>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</si>
  <si>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</si>
  <si>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</si>
  <si>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</si>
  <si>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</si>
  <si>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</si>
  <si>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</si>
  <si>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</si>
  <si>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</si>
  <si>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</si>
  <si>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</si>
  <si>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</si>
  <si>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</si>
  <si>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</si>
  <si>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</si>
  <si>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</si>
  <si>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</si>
  <si>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</si>
  <si>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</si>
  <si>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</si>
  <si>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</si>
  <si>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</si>
  <si>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</si>
  <si>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</si>
  <si>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</si>
  <si>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</si>
  <si>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</si>
  <si>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</si>
  <si>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</si>
  <si>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</si>
  <si>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</si>
  <si>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</si>
  <si>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</si>
  <si>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</si>
  <si>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</si>
  <si>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</si>
  <si>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</si>
  <si>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</si>
  <si>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</si>
  <si>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</si>
  <si>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</si>
  <si>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</si>
  <si>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</si>
  <si>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</si>
  <si>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</si>
  <si>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</si>
  <si>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</si>
  <si>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</si>
  <si>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</si>
  <si>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</si>
  <si>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</si>
  <si>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</si>
  <si>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</si>
  <si>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</si>
  <si>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</si>
  <si>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</si>
  <si>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</si>
  <si>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</si>
  <si>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</si>
  <si>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</si>
  <si>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</si>
  <si>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</si>
  <si>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</si>
  <si>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</si>
  <si>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</si>
  <si>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</si>
  <si>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</si>
  <si>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</si>
  <si>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</si>
  <si>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</si>
  <si>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</si>
  <si>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</si>
  <si>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</si>
  <si>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</si>
  <si>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</si>
  <si>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</si>
  <si>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</si>
  <si>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</si>
  <si>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</si>
  <si>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</si>
  <si>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</si>
  <si>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</si>
  <si>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</si>
  <si>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</si>
  <si>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</si>
  <si>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</si>
  <si>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</si>
  <si>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</si>
  <si>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</si>
  <si>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</si>
  <si>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</si>
  <si>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</si>
  <si>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</si>
  <si>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</si>
  <si>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</si>
  <si>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</si>
  <si>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</si>
  <si>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</si>
  <si>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</si>
  <si>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</si>
  <si>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</si>
  <si>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</si>
  <si>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</si>
  <si>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</si>
  <si>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</si>
  <si>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</si>
  <si>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</si>
  <si>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</si>
  <si>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</si>
  <si>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</si>
  <si>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</si>
  <si>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</si>
  <si>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</si>
  <si>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</si>
  <si>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</si>
  <si>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</si>
  <si>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</si>
  <si>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</si>
  <si>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</si>
  <si>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</si>
  <si>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</si>
  <si>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</si>
  <si>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</si>
  <si>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</si>
  <si>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</si>
  <si>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</si>
  <si>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</si>
  <si>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</si>
  <si>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</si>
  <si>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</si>
  <si>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</si>
  <si>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</si>
  <si>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</si>
  <si>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</si>
  <si>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</si>
  <si>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</si>
  <si>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</si>
  <si>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</si>
  <si>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</si>
  <si>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</si>
  <si>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</si>
  <si>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</si>
  <si>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</si>
  <si>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</si>
  <si>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</si>
  <si>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</si>
  <si>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</si>
  <si>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</si>
  <si>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</si>
  <si>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</si>
  <si>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</si>
  <si>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</si>
  <si>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</si>
  <si>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</si>
  <si>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</si>
  <si>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</si>
  <si>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</si>
  <si>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</si>
  <si>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</si>
  <si>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</si>
  <si>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</si>
  <si>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</si>
  <si>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</si>
  <si>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</si>
  <si>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</si>
  <si>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</si>
  <si>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</si>
  <si>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</si>
  <si>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</si>
  <si>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</si>
  <si>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</si>
  <si>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</si>
  <si>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</si>
  <si>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</si>
  <si>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</si>
  <si>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</si>
  <si>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</si>
  <si>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</si>
  <si>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</si>
  <si>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</si>
  <si>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</si>
  <si>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</si>
  <si>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</si>
  <si>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</si>
  <si>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</si>
  <si>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</si>
  <si>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</si>
  <si>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</si>
  <si>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</si>
  <si>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</si>
  <si>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</si>
  <si>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</si>
  <si>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</si>
  <si>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</si>
  <si>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</si>
  <si>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</si>
  <si>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</si>
  <si>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</si>
  <si>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</si>
  <si>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</si>
  <si>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</si>
  <si>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</si>
  <si>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</si>
  <si>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</si>
  <si>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</si>
  <si>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</si>
  <si>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</si>
  <si>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</si>
  <si>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</si>
  <si>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</si>
  <si>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</si>
  <si>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</si>
  <si>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</si>
  <si>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</si>
  <si>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</si>
  <si>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</si>
  <si>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</si>
  <si>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</si>
  <si>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</si>
  <si>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</si>
  <si>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</si>
  <si>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</si>
  <si>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</si>
  <si>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</si>
  <si>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</si>
  <si>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</si>
  <si>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</si>
  <si>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</si>
  <si>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</si>
  <si>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</si>
  <si>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</si>
  <si>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</si>
  <si>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</si>
  <si>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</si>
  <si>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</si>
  <si>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</si>
  <si>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</si>
  <si>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</si>
  <si>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</si>
  <si>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</si>
  <si>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</si>
  <si>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</si>
  <si>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</si>
  <si>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</si>
  <si>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</si>
  <si>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</si>
  <si>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</si>
  <si>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</si>
  <si>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</si>
  <si>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</si>
  <si>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</si>
  <si>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</si>
  <si>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</si>
  <si>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</si>
  <si>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</si>
  <si>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</si>
  <si>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</si>
  <si>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</si>
  <si>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</si>
  <si>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</si>
  <si>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</si>
  <si>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</si>
  <si>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</si>
  <si>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</si>
  <si>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</si>
  <si>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</si>
  <si>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</si>
  <si>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</si>
  <si>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</si>
  <si>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</si>
  <si>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</si>
  <si>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</si>
  <si>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</si>
  <si>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</si>
  <si>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</si>
  <si>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</si>
  <si>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</si>
  <si>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</si>
  <si>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</si>
  <si>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</si>
  <si>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</si>
  <si>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</si>
  <si>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</si>
  <si>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</si>
  <si>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</si>
  <si>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</si>
  <si>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</si>
  <si>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</si>
  <si>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</si>
  <si>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</si>
  <si>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</si>
  <si>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</si>
  <si>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</si>
  <si>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</si>
  <si>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</si>
  <si>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</si>
  <si>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</si>
  <si>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</si>
  <si>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</si>
  <si>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</si>
  <si>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</si>
  <si>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</si>
  <si>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</si>
  <si>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</si>
  <si>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</si>
  <si>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</si>
  <si>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</si>
  <si>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</si>
  <si>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</si>
  <si>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</si>
  <si>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</si>
  <si>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</si>
  <si>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</si>
  <si>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</si>
  <si>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</si>
  <si>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</si>
  <si>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</si>
  <si>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</si>
  <si>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</si>
  <si>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</si>
  <si>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</si>
  <si>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</si>
  <si>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</si>
  <si>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</si>
  <si>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</si>
  <si>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</si>
  <si>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</si>
  <si>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</si>
  <si>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</si>
  <si>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</si>
  <si>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</si>
  <si>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</si>
  <si>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</si>
  <si>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</si>
  <si>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</si>
  <si>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</si>
  <si>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</si>
  <si>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</si>
  <si>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</si>
  <si>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</si>
  <si>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</si>
  <si>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</si>
  <si>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</si>
  <si>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</si>
  <si>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</si>
  <si>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</si>
  <si>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</si>
  <si>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</si>
  <si>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</si>
  <si>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</si>
  <si>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</si>
  <si>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</si>
  <si>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</si>
  <si>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</si>
  <si>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</si>
  <si>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</si>
  <si>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</si>
  <si>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</si>
  <si>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</si>
  <si>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</si>
  <si>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</si>
  <si>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</si>
  <si>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</si>
  <si>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</si>
  <si>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</si>
  <si>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</si>
  <si>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</si>
  <si>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</si>
  <si>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</si>
  <si>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</si>
  <si>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</si>
  <si>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</si>
  <si>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</si>
  <si>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</si>
  <si>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</si>
  <si>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</si>
  <si>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</si>
  <si>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</si>
  <si>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</si>
  <si>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</si>
  <si>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</si>
  <si>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</si>
  <si>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</si>
  <si>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</si>
  <si>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</si>
  <si>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</si>
  <si>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</si>
  <si>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</si>
  <si>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</si>
  <si>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</si>
  <si>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</si>
  <si>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</si>
  <si>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</si>
  <si>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</si>
  <si>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</si>
  <si>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</si>
  <si>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</si>
  <si>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</si>
  <si>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</si>
  <si>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</si>
  <si>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</si>
  <si>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</si>
  <si>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</si>
  <si>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</si>
  <si>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</si>
  <si>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</si>
  <si>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</si>
  <si>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</si>
  <si>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</si>
  <si>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</si>
  <si>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</si>
  <si>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</si>
  <si>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</si>
  <si>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</si>
  <si>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</si>
  <si>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</si>
  <si>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</si>
  <si>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</si>
  <si>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</si>
  <si>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</si>
  <si>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</si>
  <si>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</si>
  <si>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</si>
  <si>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</si>
  <si>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</si>
  <si>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</si>
  <si>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</si>
  <si>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</si>
  <si>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</si>
  <si>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</si>
  <si>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</si>
  <si>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</si>
  <si>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</si>
  <si>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</si>
  <si>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</si>
  <si>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</si>
  <si>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</si>
  <si>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</si>
  <si>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</si>
  <si>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</si>
  <si>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</si>
  <si>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</si>
  <si>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</si>
  <si>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</si>
  <si>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</si>
  <si>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</si>
  <si>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</si>
  <si>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</si>
  <si>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</si>
  <si>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</si>
  <si>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</si>
  <si>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</si>
  <si>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</si>
  <si>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</si>
  <si>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</si>
  <si>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</si>
  <si>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</si>
  <si>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</si>
  <si>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</si>
  <si>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</si>
  <si>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</si>
  <si>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</si>
  <si>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</si>
  <si>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</si>
  <si>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</si>
  <si>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</si>
  <si>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</si>
  <si>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</si>
  <si>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</si>
  <si>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</si>
  <si>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</si>
  <si>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</si>
  <si>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</si>
  <si>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</si>
  <si>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</si>
  <si>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</si>
  <si>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</si>
  <si>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</si>
  <si>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</si>
  <si>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</si>
  <si>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</si>
  <si>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</si>
  <si>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</si>
  <si>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</si>
  <si>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</si>
  <si>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</si>
  <si>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</si>
  <si>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</si>
  <si>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</si>
  <si>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</si>
  <si>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</si>
  <si>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</si>
  <si>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</si>
  <si>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</si>
  <si>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</si>
  <si>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</si>
  <si>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</si>
  <si>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</si>
  <si>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</si>
  <si>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</si>
  <si>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</si>
  <si>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</si>
  <si>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</si>
  <si>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</si>
  <si>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</si>
  <si>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</si>
  <si>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</si>
  <si>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</si>
  <si>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</si>
  <si>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</si>
  <si>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</si>
  <si>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</si>
  <si>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</si>
  <si>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</si>
  <si>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</si>
  <si>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</si>
  <si>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</si>
  <si>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</si>
  <si>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</si>
  <si>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</si>
  <si>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</si>
  <si>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</si>
  <si>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</si>
  <si>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</si>
  <si>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</si>
  <si>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</si>
  <si>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</si>
  <si>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</si>
  <si>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</si>
  <si>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</si>
  <si>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</si>
  <si>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</si>
  <si>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</si>
  <si>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</si>
  <si>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</si>
  <si>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</si>
  <si>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</si>
  <si>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</si>
  <si>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</si>
  <si>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</si>
  <si>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</si>
  <si>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</si>
  <si>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</si>
  <si>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</si>
  <si>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</si>
  <si>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</si>
  <si>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</si>
  <si>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</si>
  <si>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</si>
  <si>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</si>
  <si>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</si>
  <si>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</si>
  <si>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</si>
  <si>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</si>
  <si>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</si>
  <si>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</si>
  <si>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</si>
  <si>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</si>
  <si>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</si>
  <si>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</si>
  <si>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</si>
  <si>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</si>
  <si>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</si>
  <si>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</si>
  <si>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</si>
  <si>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</si>
  <si>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</si>
  <si>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</si>
  <si>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</si>
  <si>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</si>
  <si>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</si>
  <si>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</si>
  <si>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</si>
  <si>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</si>
  <si>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</si>
  <si>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</si>
  <si>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</si>
  <si>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</si>
  <si>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</si>
  <si>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</si>
  <si>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</si>
  <si>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</si>
  <si>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</si>
  <si>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</si>
  <si>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</si>
  <si>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</si>
  <si>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</si>
  <si>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</si>
  <si>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</si>
  <si>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</si>
  <si>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</si>
  <si>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</si>
  <si>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</si>
  <si>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</si>
  <si>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</si>
  <si>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</si>
  <si>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</si>
  <si>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</si>
  <si>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</si>
  <si>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</si>
  <si>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</si>
  <si>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</si>
  <si>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</si>
  <si>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</si>
  <si>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</si>
  <si>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</si>
  <si>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</si>
  <si>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</si>
  <si>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</si>
  <si>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</si>
  <si>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</si>
  <si>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</si>
  <si>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</si>
  <si>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</si>
  <si>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</si>
  <si>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</si>
  <si>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</si>
  <si>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</si>
  <si>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</si>
  <si>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</si>
  <si>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</si>
  <si>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</si>
  <si>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</si>
  <si>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</si>
  <si>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</si>
  <si>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</si>
  <si>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</si>
  <si>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</si>
  <si>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</si>
  <si>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</si>
  <si>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</si>
  <si>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</si>
  <si>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</si>
  <si>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</si>
  <si>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</si>
  <si>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</si>
  <si>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</si>
  <si>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</si>
  <si>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</si>
  <si>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</si>
  <si>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</si>
  <si>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</si>
  <si>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</si>
  <si>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</si>
  <si>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</si>
  <si>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</si>
  <si>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</si>
  <si>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</si>
  <si>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</si>
  <si>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</si>
  <si>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</si>
  <si>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</si>
  <si>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</si>
  <si>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</si>
  <si>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</si>
  <si>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</si>
  <si>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</si>
  <si>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</si>
  <si>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</si>
  <si>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</si>
  <si>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</si>
  <si>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</si>
  <si>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</si>
  <si>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</si>
  <si>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</si>
  <si>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</si>
  <si>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</si>
  <si>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</si>
  <si>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</si>
  <si>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</si>
  <si>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</si>
  <si>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</si>
  <si>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</si>
  <si>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</si>
  <si>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</si>
  <si>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</si>
  <si>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</si>
  <si>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</si>
  <si>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</si>
  <si>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</si>
  <si>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</si>
  <si>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</si>
  <si>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</si>
  <si>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</si>
  <si>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</si>
  <si>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</si>
  <si>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</si>
  <si>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</si>
  <si>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</si>
  <si>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</si>
  <si>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</si>
  <si>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</si>
  <si>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</si>
  <si>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</si>
  <si>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</si>
  <si>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</si>
  <si>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</si>
  <si>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</si>
  <si>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</si>
  <si>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</si>
  <si>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</si>
  <si>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</si>
  <si>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</si>
  <si>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</si>
  <si>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</si>
  <si>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</si>
  <si>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</si>
  <si>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</si>
  <si>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</si>
  <si>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</si>
  <si>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</si>
  <si>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</si>
  <si>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</si>
  <si>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</si>
  <si>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</si>
  <si>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</si>
  <si>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</si>
  <si>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</si>
  <si>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</si>
  <si>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</si>
  <si>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</si>
  <si>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</si>
  <si>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</si>
  <si>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</si>
  <si>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</si>
  <si>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</si>
  <si>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</si>
  <si>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</si>
  <si>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</si>
  <si>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</si>
  <si>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</si>
  <si>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</si>
  <si>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</si>
  <si>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</si>
  <si>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</si>
  <si>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</si>
  <si>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</si>
  <si>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</si>
  <si>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</si>
  <si>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</si>
  <si>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</si>
  <si>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</si>
  <si>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</si>
  <si>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</si>
  <si>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</si>
  <si>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</si>
  <si>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</si>
  <si>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</si>
  <si>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</si>
  <si>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</si>
  <si>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</si>
  <si>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</si>
  <si>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</si>
  <si>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</si>
  <si>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</si>
  <si>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</si>
  <si>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</si>
  <si>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</si>
  <si>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</si>
  <si>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</si>
  <si>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</si>
  <si>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</si>
  <si>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</si>
  <si>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</si>
  <si>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</si>
  <si>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</si>
  <si>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</si>
  <si>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</si>
  <si>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</si>
  <si>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</si>
  <si>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</si>
  <si>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</si>
  <si>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</si>
  <si>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</si>
  <si>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</si>
  <si>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</si>
  <si>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</si>
  <si>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</si>
  <si>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</si>
  <si>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</si>
  <si>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</si>
  <si>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</si>
  <si>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</si>
  <si>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</si>
  <si>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</si>
  <si>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</si>
  <si>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</si>
  <si>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</si>
  <si>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</si>
  <si>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</si>
  <si>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</si>
  <si>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</si>
  <si>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</si>
  <si>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</si>
  <si>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</si>
  <si>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</si>
  <si>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</si>
  <si>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</si>
  <si>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</si>
  <si>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</si>
  <si>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</si>
  <si>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</si>
  <si>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</si>
  <si>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</si>
  <si>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</si>
  <si>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</si>
  <si>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</si>
  <si>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</si>
  <si>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</si>
  <si>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</si>
  <si>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</si>
  <si>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</si>
  <si>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</si>
  <si>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</si>
  <si>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</si>
  <si>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</si>
  <si>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</si>
  <si>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</si>
  <si>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</si>
  <si>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</si>
  <si>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</si>
  <si>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</si>
  <si>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</si>
  <si>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</si>
  <si>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</si>
  <si>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</si>
  <si>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</si>
  <si>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</si>
  <si>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</si>
  <si>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</si>
  <si>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</si>
  <si>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</si>
  <si>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</si>
  <si>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</si>
  <si>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</si>
  <si>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</si>
  <si>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</si>
  <si>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</si>
  <si>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</si>
  <si>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</si>
  <si>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</si>
  <si>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</si>
  <si>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</si>
  <si>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</si>
  <si>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</si>
  <si>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</si>
  <si>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</si>
  <si>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</si>
  <si>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</si>
  <si>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</si>
  <si>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</si>
  <si>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</si>
  <si>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</si>
  <si>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</si>
  <si>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</si>
  <si>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</si>
  <si>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</si>
  <si>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</si>
  <si>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</si>
  <si>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</si>
  <si>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</si>
  <si>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</si>
  <si>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</si>
  <si>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</si>
  <si>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</si>
  <si>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</si>
  <si>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</si>
  <si>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</si>
  <si>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</si>
  <si>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</si>
  <si>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</si>
  <si>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</si>
  <si>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</si>
  <si>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</si>
  <si>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</si>
  <si>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</si>
  <si>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</si>
  <si>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</si>
  <si>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</si>
  <si>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</si>
  <si>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</si>
  <si>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</si>
  <si>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</si>
  <si>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</si>
  <si>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</si>
  <si>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</si>
  <si>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</si>
  <si>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</si>
  <si>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</si>
  <si>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</si>
  <si>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</si>
  <si>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</si>
  <si>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</si>
  <si>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</si>
  <si>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</si>
  <si>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</si>
  <si>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</si>
  <si>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</si>
  <si>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</si>
  <si>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</si>
  <si>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</si>
  <si>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</si>
  <si>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</si>
  <si>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</si>
  <si>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</si>
  <si>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</si>
  <si>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</si>
  <si>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</si>
  <si>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</si>
  <si>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</si>
  <si>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</si>
  <si>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</si>
  <si>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</si>
  <si>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</si>
  <si>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</si>
  <si>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</si>
  <si>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</si>
  <si>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</si>
  <si>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</si>
  <si>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</si>
  <si>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</si>
  <si>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</si>
  <si>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</si>
  <si>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</si>
  <si>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</si>
  <si>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</si>
  <si>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</si>
  <si>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</si>
  <si>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</si>
  <si>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</si>
  <si>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</si>
  <si>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</si>
  <si>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</si>
  <si>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</si>
  <si>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</si>
  <si>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</si>
  <si>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</si>
  <si>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</si>
  <si>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</si>
  <si>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</si>
  <si>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</si>
  <si>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</si>
  <si>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</si>
  <si>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</si>
  <si>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</si>
  <si>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</si>
  <si>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</si>
  <si>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</si>
  <si>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</si>
  <si>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</si>
  <si>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</si>
  <si>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</si>
  <si>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</si>
  <si>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</si>
  <si>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</si>
  <si>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</si>
  <si>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</si>
  <si>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</si>
  <si>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</si>
  <si>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</si>
  <si>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</si>
  <si>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</si>
  <si>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</si>
  <si>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</si>
  <si>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</si>
  <si>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</si>
  <si>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</si>
  <si>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</si>
  <si>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</si>
  <si>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</si>
  <si>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</si>
  <si>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</si>
  <si>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</si>
  <si>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</si>
  <si>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</si>
  <si>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</si>
  <si>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</si>
  <si>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</si>
  <si>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</si>
  <si>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</si>
  <si>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</si>
  <si>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</si>
  <si>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</si>
  <si>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</si>
  <si>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</si>
  <si>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</si>
  <si>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</si>
  <si>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</si>
  <si>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</si>
  <si>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</si>
  <si>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</si>
  <si>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</si>
  <si>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</si>
  <si>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</si>
  <si>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</si>
  <si>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</si>
  <si>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</si>
  <si>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</si>
  <si>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</si>
  <si>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</si>
  <si>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</si>
  <si>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</si>
  <si>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</si>
  <si>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</si>
  <si>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</si>
  <si>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</si>
  <si>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</si>
  <si>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</si>
  <si>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</si>
  <si>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</si>
  <si>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</si>
  <si>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</si>
  <si>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</si>
  <si>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</si>
  <si>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</si>
  <si>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</si>
  <si>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</si>
  <si>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</si>
  <si>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</si>
  <si>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</si>
  <si>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</si>
  <si>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</si>
  <si>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</si>
  <si>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</si>
  <si>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</si>
  <si>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</si>
  <si>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</si>
  <si>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</si>
  <si>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</si>
  <si>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</si>
  <si>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</si>
  <si>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</si>
  <si>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</si>
  <si>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</si>
  <si>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</si>
  <si>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</si>
  <si>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</si>
  <si>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</si>
  <si>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</si>
  <si>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</si>
  <si>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</si>
  <si>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</si>
  <si>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</si>
  <si>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</si>
  <si>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</si>
  <si>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</si>
  <si>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</si>
  <si>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</si>
  <si>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</si>
  <si>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</si>
  <si>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</si>
  <si>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</si>
  <si>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</si>
  <si>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</si>
  <si>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</si>
  <si>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</si>
  <si>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</si>
  <si>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</si>
  <si>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</si>
  <si>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</si>
  <si>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</si>
  <si>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</si>
  <si>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</si>
  <si>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</si>
  <si>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</si>
  <si>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</si>
  <si>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</si>
  <si>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</si>
  <si>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</si>
  <si>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</si>
  <si>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</si>
  <si>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</si>
  <si>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</si>
  <si>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</si>
  <si>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</si>
  <si>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</si>
  <si>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</si>
  <si>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</si>
  <si>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</si>
  <si>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</si>
  <si>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</si>
  <si>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</si>
  <si>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</si>
  <si>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</si>
  <si>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</si>
  <si>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</si>
  <si>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</si>
  <si>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</si>
  <si>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</si>
  <si>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</si>
  <si>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</si>
  <si>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</si>
  <si>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</si>
  <si>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</si>
  <si>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</si>
  <si>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</si>
  <si>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</si>
  <si>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</si>
  <si>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</si>
  <si>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</si>
  <si>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</si>
  <si>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</si>
  <si>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</si>
  <si>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</si>
  <si>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</si>
  <si>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</si>
  <si>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</si>
  <si>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</si>
  <si>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</si>
  <si>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</si>
  <si>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</si>
  <si>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</si>
  <si>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</si>
  <si>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</si>
  <si>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</si>
  <si>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</si>
  <si>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</si>
  <si>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</si>
  <si>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</si>
  <si>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</si>
  <si>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</si>
  <si>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</si>
  <si>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</si>
  <si>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</si>
  <si>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</si>
  <si>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</si>
  <si>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</si>
  <si>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</si>
  <si>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</si>
  <si>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</si>
  <si>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</si>
  <si>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</si>
  <si>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</si>
  <si>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</si>
  <si>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</si>
  <si>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</si>
  <si>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</si>
  <si>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</si>
  <si>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</si>
  <si>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</si>
  <si>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</si>
  <si>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</si>
  <si>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</si>
  <si>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</si>
  <si>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</si>
  <si>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</si>
  <si>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</si>
  <si>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</si>
  <si>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</si>
  <si>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</si>
  <si>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</si>
  <si>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</si>
  <si>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</si>
  <si>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</si>
  <si>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</si>
  <si>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</si>
  <si>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</si>
  <si>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</si>
  <si>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</si>
  <si>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</si>
  <si>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</si>
  <si>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</si>
  <si>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</si>
  <si>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</si>
  <si>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</si>
  <si>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</si>
  <si>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</si>
  <si>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</si>
  <si>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</si>
  <si>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</si>
  <si>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</si>
  <si>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</si>
  <si>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</si>
  <si>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</si>
  <si>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</si>
  <si>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</si>
  <si>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</si>
  <si>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</si>
  <si>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</si>
  <si>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</si>
  <si>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</si>
  <si>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</si>
  <si>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</si>
  <si>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</si>
  <si>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</si>
  <si>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</si>
  <si>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</si>
  <si>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</si>
  <si>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</si>
  <si>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</si>
  <si>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</si>
  <si>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</si>
  <si>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</si>
  <si>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</si>
  <si>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</si>
  <si>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</si>
  <si>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</si>
  <si>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</si>
  <si>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</si>
  <si>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</si>
  <si>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</si>
  <si>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</si>
  <si>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</si>
  <si>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</si>
  <si>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</si>
  <si>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</si>
  <si>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</si>
  <si>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</si>
  <si>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</si>
  <si>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</si>
  <si>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</si>
  <si>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</si>
  <si>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</si>
  <si>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</si>
  <si>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</si>
  <si>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</si>
  <si>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</si>
  <si>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</si>
  <si>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</si>
  <si>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</si>
  <si>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</si>
  <si>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</si>
  <si>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</si>
  <si>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</si>
  <si>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</si>
  <si>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</si>
  <si>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</si>
  <si>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</si>
  <si>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</si>
  <si>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</si>
  <si>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</si>
  <si>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</si>
  <si>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</si>
  <si>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</si>
  <si>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</si>
  <si>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</si>
  <si>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</si>
  <si>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</si>
  <si>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</si>
  <si>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</si>
  <si>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</si>
  <si>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</si>
  <si>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</si>
  <si>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</si>
  <si>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</si>
  <si>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</si>
  <si>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</si>
  <si>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</si>
  <si>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</si>
  <si>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</si>
  <si>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</si>
  <si>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</si>
  <si>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</si>
  <si>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</si>
  <si>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</si>
  <si>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</si>
  <si>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</si>
  <si>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</si>
  <si>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</si>
  <si>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</si>
  <si>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</si>
  <si>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</si>
  <si>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</si>
  <si>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</si>
  <si>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</si>
  <si>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</si>
  <si>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</si>
  <si>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</si>
  <si>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</si>
  <si>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</si>
  <si>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</si>
  <si>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</si>
  <si>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</si>
  <si>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</si>
  <si>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</si>
  <si>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</si>
  <si>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</si>
  <si>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</si>
  <si>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</si>
  <si>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</si>
  <si>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</si>
  <si>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</si>
  <si>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</si>
  <si>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</si>
  <si>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</si>
  <si>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</si>
  <si>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</si>
  <si>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</si>
  <si>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</si>
  <si>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</si>
  <si>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</si>
  <si>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</si>
  <si>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</si>
  <si>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</si>
  <si>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</si>
  <si>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</si>
  <si>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</si>
  <si>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</si>
  <si>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</si>
  <si>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</si>
  <si>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</si>
  <si>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</si>
  <si>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</si>
  <si>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</si>
  <si>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</si>
  <si>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</si>
  <si>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</si>
  <si>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</si>
  <si>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</si>
  <si>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</si>
  <si>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</si>
  <si>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</si>
  <si>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</si>
  <si>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</si>
  <si>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</si>
  <si>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</si>
  <si>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</si>
  <si>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</si>
  <si>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</si>
  <si>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</si>
  <si>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</si>
  <si>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</si>
  <si>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</si>
  <si>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</si>
  <si>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</si>
  <si>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</si>
  <si>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</si>
  <si>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</si>
  <si>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</si>
  <si>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</si>
  <si>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</si>
  <si>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</si>
  <si>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</si>
  <si>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</si>
  <si>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</si>
  <si>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</si>
  <si>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</si>
  <si>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</si>
  <si>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</si>
  <si>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</si>
  <si>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</si>
  <si>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</si>
  <si>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</si>
  <si>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</si>
  <si>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</si>
  <si>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</si>
  <si>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</si>
  <si>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</si>
  <si>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</si>
  <si>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</si>
  <si>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</si>
  <si>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</si>
  <si>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</si>
  <si>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</si>
  <si>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</si>
  <si>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</si>
  <si>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</si>
  <si>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</si>
  <si>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</si>
  <si>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</si>
  <si>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</si>
  <si>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</si>
  <si>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</si>
  <si>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</si>
  <si>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</si>
  <si>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</si>
  <si>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</si>
  <si>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</si>
  <si>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</si>
  <si>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</si>
  <si>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</si>
  <si>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</si>
  <si>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</si>
  <si>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</si>
  <si>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</si>
  <si>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</si>
  <si>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</si>
  <si>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</si>
  <si>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</si>
  <si>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</si>
  <si>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</si>
  <si>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</si>
  <si>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</si>
  <si>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</si>
  <si>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</si>
  <si>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</si>
  <si>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</si>
  <si>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</si>
  <si>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</si>
  <si>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</si>
  <si>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</si>
  <si>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</si>
  <si>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</si>
  <si>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</si>
  <si>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</si>
  <si>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</si>
  <si>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</si>
  <si>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</si>
  <si>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</si>
  <si>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</si>
  <si>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</si>
  <si>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</si>
  <si>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</si>
  <si>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</si>
  <si>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</si>
  <si>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</si>
  <si>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</si>
  <si>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</si>
  <si>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</si>
  <si>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</si>
  <si>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</si>
  <si>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</si>
  <si>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</si>
  <si>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</si>
  <si>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</si>
  <si>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</si>
  <si>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</si>
  <si>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</si>
  <si>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</si>
  <si>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</si>
  <si>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</si>
  <si>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</si>
  <si>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</si>
  <si>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</si>
  <si>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</si>
  <si>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</si>
  <si>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</si>
  <si>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</si>
  <si>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</si>
  <si>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</si>
  <si>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</si>
  <si>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</si>
  <si>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</si>
  <si>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</si>
  <si>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</si>
  <si>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</si>
  <si>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</si>
  <si>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</si>
  <si>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</si>
  <si>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</si>
  <si>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</si>
  <si>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</si>
  <si>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</si>
  <si>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</si>
  <si>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</si>
  <si>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</si>
  <si>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</si>
  <si>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</si>
  <si>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</si>
  <si>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</si>
  <si>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</si>
  <si>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</si>
  <si>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</si>
  <si>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</si>
  <si>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</si>
  <si>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</si>
  <si>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</si>
  <si>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</si>
  <si>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</si>
  <si>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</si>
  <si>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</si>
  <si>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</si>
  <si>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</si>
  <si>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</si>
  <si>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</si>
  <si>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</si>
  <si>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</si>
  <si>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</si>
  <si>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</si>
  <si>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</si>
  <si>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</si>
  <si>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</si>
  <si>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</si>
  <si>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</si>
  <si>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</si>
  <si>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</si>
  <si>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</si>
  <si>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</si>
  <si>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</si>
  <si>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</si>
  <si>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</si>
  <si>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</si>
  <si>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</si>
  <si>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</si>
  <si>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</si>
  <si>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</si>
  <si>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</si>
  <si>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</si>
  <si>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</si>
  <si>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</si>
  <si>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</si>
  <si>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</si>
  <si>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</si>
  <si>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</si>
  <si>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</si>
  <si>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</si>
  <si>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</si>
  <si>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</si>
  <si>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</si>
  <si>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</si>
  <si>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</si>
  <si>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</si>
  <si>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</si>
  <si>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</si>
  <si>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</si>
  <si>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</si>
  <si>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</si>
  <si>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</si>
  <si>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</si>
  <si>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</si>
  <si>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</si>
  <si>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</si>
  <si>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</si>
  <si>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</si>
  <si>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</si>
  <si>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</si>
  <si>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</si>
  <si>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</si>
  <si>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</si>
  <si>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</si>
  <si>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</si>
  <si>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</si>
  <si>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</si>
  <si>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</si>
  <si>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</si>
  <si>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</si>
  <si>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</si>
  <si>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</si>
  <si>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</si>
  <si>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</si>
  <si>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</si>
  <si>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</si>
  <si>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</si>
  <si>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</si>
  <si>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</si>
  <si>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</si>
  <si>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</si>
  <si>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</si>
  <si>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</si>
  <si>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</si>
  <si>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</si>
  <si>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</si>
  <si>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</si>
  <si>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</si>
  <si>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</si>
  <si>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</si>
  <si>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</si>
  <si>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</si>
  <si>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</si>
  <si>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</si>
  <si>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</si>
  <si>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</si>
  <si>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</si>
  <si>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</si>
  <si>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</si>
  <si>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</si>
  <si>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</si>
  <si>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</si>
  <si>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</si>
  <si>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</si>
  <si>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</si>
  <si>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</si>
  <si>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</si>
  <si>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</si>
  <si>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</si>
  <si>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</si>
  <si>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</si>
  <si>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</si>
  <si>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</si>
  <si>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</si>
  <si>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</si>
  <si>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</si>
  <si>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</si>
  <si>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</si>
  <si>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</si>
  <si>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</si>
  <si>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</si>
  <si>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</si>
  <si>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</si>
  <si>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</si>
  <si>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</si>
  <si>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</si>
  <si>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</si>
  <si>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</si>
  <si>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</si>
  <si>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</si>
  <si>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</si>
  <si>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</si>
  <si>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</si>
  <si>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</si>
  <si>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</si>
  <si>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</si>
  <si>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</si>
  <si>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</si>
  <si>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</si>
  <si>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</si>
  <si>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</si>
  <si>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</si>
  <si>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</si>
  <si>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</si>
  <si>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</si>
  <si>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</si>
  <si>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</si>
  <si>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</si>
  <si>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</si>
  <si>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</si>
  <si>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</si>
  <si>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</si>
  <si>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</si>
  <si>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</si>
  <si>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</si>
  <si>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</si>
  <si>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</si>
  <si>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</si>
  <si>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</si>
  <si>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</si>
  <si>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</si>
  <si>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</si>
  <si>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</si>
  <si>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</si>
  <si>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</si>
  <si>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</si>
  <si>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</si>
  <si>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</si>
  <si>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</si>
  <si>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</si>
  <si>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</si>
  <si>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</si>
  <si>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</si>
  <si>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</si>
  <si>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</si>
  <si>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</si>
  <si>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</si>
  <si>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</si>
  <si>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</si>
  <si>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</si>
  <si>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</si>
  <si>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</si>
  <si>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</si>
  <si>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</si>
  <si>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</si>
  <si>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</si>
  <si>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</si>
  <si>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</si>
  <si>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</si>
  <si>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</si>
  <si>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</si>
  <si>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</si>
  <si>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</si>
  <si>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</si>
  <si>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</si>
  <si>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</si>
  <si>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</si>
  <si>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</si>
  <si>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</si>
  <si>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</si>
  <si>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</si>
  <si>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</si>
  <si>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</si>
  <si>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</si>
  <si>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</si>
  <si>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</si>
  <si>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</si>
  <si>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</si>
  <si>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</si>
  <si>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</si>
  <si>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</si>
  <si>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</si>
  <si>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</si>
  <si>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</si>
  <si>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</si>
  <si>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</si>
  <si>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</si>
  <si>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</si>
  <si>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</si>
  <si>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</si>
  <si>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</si>
  <si>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</si>
  <si>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</si>
  <si>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</si>
  <si>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</si>
  <si>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</si>
  <si>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</si>
  <si>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</si>
  <si>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</si>
  <si>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</si>
  <si>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</si>
  <si>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</si>
  <si>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</si>
  <si>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</si>
  <si>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</si>
  <si>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</si>
  <si>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</si>
  <si>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</si>
  <si>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</si>
  <si>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</si>
  <si>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</si>
  <si>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</si>
  <si>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</si>
  <si>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</si>
  <si>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</si>
  <si>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</si>
  <si>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</si>
  <si>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</si>
  <si>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</si>
  <si>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</si>
  <si>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</si>
  <si>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</si>
  <si>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</si>
  <si>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</si>
  <si>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</si>
  <si>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</si>
  <si>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</si>
  <si>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</si>
  <si>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</si>
  <si>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</si>
  <si>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</si>
  <si>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</si>
  <si>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</si>
  <si>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</si>
  <si>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</si>
  <si>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</si>
  <si>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</si>
  <si>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</si>
  <si>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</si>
  <si>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</si>
  <si>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</si>
  <si>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</si>
  <si>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</si>
  <si>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</si>
  <si>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</si>
  <si>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</si>
  <si>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</si>
  <si>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</si>
  <si>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</si>
  <si>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</si>
  <si>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</si>
  <si>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</si>
  <si>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</si>
  <si>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</si>
  <si>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</si>
  <si>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</si>
  <si>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</si>
  <si>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</si>
  <si>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</si>
  <si>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</si>
  <si>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</si>
  <si>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</si>
  <si>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</si>
  <si>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</si>
  <si>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</si>
  <si>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</si>
  <si>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</si>
  <si>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</si>
  <si>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</si>
  <si>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</si>
  <si>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</si>
  <si>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</si>
  <si>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</si>
  <si>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</si>
  <si>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</si>
  <si>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</si>
  <si>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</si>
  <si>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</si>
  <si>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</si>
  <si>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</si>
  <si>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</si>
  <si>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</si>
  <si>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</si>
  <si>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</si>
  <si>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</si>
  <si>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</si>
  <si>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</si>
  <si>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</si>
  <si>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</si>
  <si>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</si>
  <si>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</si>
  <si>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</si>
  <si>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</si>
  <si>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</si>
  <si>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</si>
  <si>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</si>
  <si>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</si>
  <si>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</si>
  <si>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</si>
  <si>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</si>
  <si>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</si>
  <si>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</si>
  <si>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</si>
  <si>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</si>
  <si>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</si>
  <si>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</si>
  <si>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</si>
  <si>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</si>
  <si>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</si>
  <si>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</si>
  <si>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</si>
  <si>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</si>
  <si>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</si>
  <si>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</si>
  <si>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</si>
  <si>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</si>
  <si>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</si>
  <si>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</si>
  <si>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</si>
  <si>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</si>
  <si>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</si>
  <si>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</si>
  <si>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</si>
  <si>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</si>
  <si>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</si>
  <si>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</si>
  <si>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</si>
  <si>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</si>
  <si>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</si>
  <si>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</si>
  <si>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</si>
  <si>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</si>
  <si>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</si>
  <si>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</si>
  <si>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</si>
  <si>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</si>
  <si>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</si>
  <si>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</si>
  <si>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</si>
  <si>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</si>
  <si>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</si>
  <si>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</si>
  <si>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</si>
  <si>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</si>
  <si>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</si>
  <si>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</si>
  <si>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</si>
  <si>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</si>
  <si>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</si>
  <si>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</si>
  <si>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</si>
  <si>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</si>
  <si>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</si>
  <si>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</si>
  <si>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</si>
  <si>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</si>
  <si>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</si>
  <si>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</si>
  <si>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</si>
  <si>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</si>
  <si>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</si>
  <si>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</si>
  <si>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</si>
  <si>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</si>
  <si>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</si>
  <si>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</si>
  <si>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</si>
  <si>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</si>
  <si>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</si>
  <si>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</si>
  <si>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</si>
  <si>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</si>
  <si>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</si>
  <si>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</si>
  <si>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</si>
  <si>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</si>
  <si>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</si>
  <si>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</si>
  <si>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</si>
  <si>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</si>
  <si>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</si>
  <si>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</si>
  <si>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</si>
  <si>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</si>
  <si>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</si>
  <si>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</si>
  <si>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</si>
  <si>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</si>
  <si>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</si>
  <si>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</si>
  <si>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</si>
  <si>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</si>
  <si>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</si>
  <si>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</si>
  <si>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</si>
  <si>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</si>
  <si>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</si>
  <si>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</si>
  <si>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</si>
  <si>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</si>
  <si>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</si>
  <si>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</si>
  <si>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</si>
  <si>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</si>
  <si>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</si>
  <si>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</si>
  <si>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</si>
  <si>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</si>
  <si>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</si>
  <si>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</si>
  <si>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</si>
  <si>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</si>
  <si>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</si>
  <si>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</si>
  <si>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</si>
  <si>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</si>
  <si>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</si>
  <si>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</si>
  <si>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</si>
  <si>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</si>
  <si>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</si>
  <si>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</si>
  <si>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</si>
  <si>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</si>
  <si>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</si>
  <si>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</si>
  <si>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</si>
  <si>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</si>
  <si>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</si>
  <si>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</si>
  <si>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</si>
  <si>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</si>
  <si>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</si>
  <si>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</si>
  <si>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</si>
  <si>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</si>
  <si>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</si>
  <si>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</si>
  <si>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</si>
  <si>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</si>
  <si>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</si>
  <si>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</si>
  <si>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</si>
  <si>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</si>
  <si>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</si>
  <si>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</si>
  <si>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</si>
  <si>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</si>
  <si>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</si>
  <si>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</si>
  <si>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</si>
  <si>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</si>
  <si>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</si>
  <si>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</si>
  <si>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</si>
  <si>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</si>
  <si>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</si>
  <si>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</si>
  <si>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</si>
  <si>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</si>
  <si>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</si>
  <si>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</si>
  <si>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</si>
  <si>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</si>
  <si>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</si>
  <si>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</si>
  <si>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</si>
  <si>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</si>
  <si>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</si>
  <si>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</si>
  <si>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</si>
  <si>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</si>
  <si>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</si>
  <si>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</si>
  <si>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</si>
  <si>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</si>
  <si>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</si>
  <si>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</si>
  <si>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</si>
  <si>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</si>
  <si>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</si>
  <si>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</si>
  <si>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</si>
  <si>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</si>
  <si>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</si>
  <si>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</si>
  <si>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</si>
  <si>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</si>
  <si>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</si>
  <si>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</si>
  <si>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</si>
  <si>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</si>
  <si>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</si>
  <si>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</si>
  <si>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</si>
  <si>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</si>
  <si>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</si>
  <si>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</si>
  <si>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</si>
  <si>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</si>
  <si>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</si>
  <si>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</si>
  <si>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</si>
  <si>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</si>
  <si>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</si>
  <si>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</si>
  <si>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</si>
  <si>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</si>
  <si>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</si>
  <si>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</si>
  <si>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</si>
  <si>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</si>
  <si>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</si>
  <si>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</si>
  <si>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</si>
  <si>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</si>
  <si>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</si>
  <si>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</si>
  <si>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</si>
  <si>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</si>
  <si>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</si>
  <si>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</si>
  <si>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</si>
  <si>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</si>
  <si>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</si>
  <si>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</si>
  <si>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</si>
  <si>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</si>
  <si>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</si>
  <si>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</si>
  <si>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</si>
  <si>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</si>
  <si>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</si>
  <si>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</si>
  <si>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</si>
  <si>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</si>
  <si>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</si>
  <si>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</si>
  <si>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</si>
  <si>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</si>
  <si>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</si>
  <si>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</si>
  <si>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</si>
  <si>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</si>
  <si>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</si>
  <si>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</si>
  <si>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</si>
  <si>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</si>
  <si>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</si>
  <si>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</si>
  <si>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</si>
  <si>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</si>
  <si>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</si>
  <si>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</si>
  <si>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</si>
  <si>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</si>
  <si>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</si>
  <si>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</si>
  <si>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</si>
  <si>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</si>
  <si>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</si>
  <si>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</si>
  <si>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</si>
  <si>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</si>
  <si>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</si>
  <si>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</si>
  <si>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</si>
  <si>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</si>
  <si>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</si>
  <si>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</si>
  <si>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</si>
  <si>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</si>
  <si>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</si>
  <si>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</si>
  <si>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</si>
  <si>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</si>
  <si>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</si>
  <si>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</si>
  <si>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</si>
  <si>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</si>
  <si>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</si>
  <si>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</si>
  <si>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</si>
  <si>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</si>
  <si>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</si>
  <si>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</si>
  <si>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</si>
  <si>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</si>
  <si>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</si>
  <si>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</si>
  <si>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</si>
  <si>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</si>
  <si>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</si>
  <si>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</si>
  <si>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</si>
  <si>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</si>
  <si>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</si>
  <si>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</si>
  <si>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</si>
  <si>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</si>
  <si>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</si>
  <si>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</si>
  <si>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</si>
  <si>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</si>
  <si>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</si>
  <si>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</si>
  <si>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</si>
  <si>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</si>
  <si>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</si>
  <si>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</si>
  <si>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</si>
  <si>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</si>
  <si>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</si>
  <si>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</si>
  <si>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</si>
  <si>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</si>
  <si>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</si>
  <si>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</si>
  <si>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</si>
  <si>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</si>
  <si>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</si>
  <si>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</si>
  <si>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</si>
  <si>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</si>
  <si>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</si>
  <si>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</si>
  <si>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</si>
  <si>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</si>
  <si>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</si>
  <si>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</si>
  <si>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</si>
  <si>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</si>
  <si>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</si>
  <si>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</si>
  <si>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</si>
  <si>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</si>
  <si>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</si>
  <si>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</si>
  <si>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</si>
  <si>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</si>
  <si>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</si>
  <si>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</si>
  <si>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</si>
  <si>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</si>
  <si>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</si>
  <si>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</si>
  <si>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</si>
  <si>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</si>
  <si>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</si>
  <si>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</si>
  <si>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</si>
  <si>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</si>
  <si>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</si>
  <si>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</si>
  <si>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</si>
  <si>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</si>
  <si>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</si>
  <si>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</si>
  <si>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</si>
  <si>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</si>
  <si>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</si>
  <si>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</si>
  <si>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</si>
  <si>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</si>
  <si>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</si>
  <si>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</si>
  <si>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</si>
  <si>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</si>
  <si>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</si>
  <si>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</si>
  <si>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</si>
  <si>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</si>
  <si>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</si>
  <si>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</si>
  <si>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</si>
  <si>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</si>
  <si>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</si>
  <si>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</si>
  <si>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</si>
  <si>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</si>
  <si>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</si>
  <si>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</si>
  <si>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</si>
  <si>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</si>
  <si>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</si>
  <si>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</si>
  <si>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</si>
  <si>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</si>
  <si>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</si>
  <si>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</si>
  <si>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</si>
  <si>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</si>
  <si>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</si>
  <si>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</si>
  <si>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</si>
  <si>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</si>
  <si>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</si>
  <si>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</si>
  <si>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</si>
  <si>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</si>
  <si>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</si>
  <si>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</si>
  <si>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</si>
  <si>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</si>
  <si>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</si>
  <si>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</si>
  <si>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</si>
  <si>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</si>
  <si>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</si>
  <si>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</si>
  <si>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</si>
  <si>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</si>
  <si>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</si>
  <si>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</si>
  <si>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</si>
  <si>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</si>
  <si>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</si>
  <si>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</si>
  <si>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</si>
  <si>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</si>
  <si>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</si>
  <si>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</si>
  <si>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</si>
  <si>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</si>
  <si>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</si>
  <si>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</si>
  <si>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</si>
  <si>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</si>
  <si>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</si>
  <si>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</si>
  <si>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</si>
  <si>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</si>
  <si>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</si>
  <si>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</si>
  <si>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</si>
  <si>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</si>
  <si>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</si>
  <si>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</si>
  <si>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</si>
  <si>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</si>
  <si>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</si>
  <si>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</si>
  <si>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</si>
  <si>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</si>
  <si>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</si>
  <si>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</si>
  <si>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</si>
  <si>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</si>
  <si>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</si>
  <si>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</si>
  <si>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</si>
  <si>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</si>
  <si>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</si>
  <si>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</si>
  <si>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</si>
  <si>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</si>
  <si>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</si>
  <si>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</si>
  <si>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</si>
  <si>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</si>
  <si>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</si>
  <si>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</si>
  <si>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</si>
  <si>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</si>
  <si>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</si>
  <si>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</si>
  <si>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</si>
  <si>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</si>
  <si>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</si>
  <si>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</si>
  <si>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</si>
  <si>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</si>
  <si>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</si>
  <si>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</si>
  <si>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</si>
  <si>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</si>
  <si>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</si>
  <si>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</si>
  <si>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</si>
  <si>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</si>
  <si>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</si>
  <si>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</si>
  <si>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</si>
  <si>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</si>
  <si>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</si>
  <si>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</si>
  <si>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</si>
  <si>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</si>
  <si>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</si>
  <si>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</si>
  <si>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</si>
  <si>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</si>
  <si>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</si>
  <si>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</si>
  <si>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</si>
  <si>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</si>
  <si>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</si>
  <si>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</si>
  <si>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</si>
  <si>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</si>
  <si>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</si>
  <si>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</si>
  <si>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</si>
  <si>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</si>
  <si>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</si>
  <si>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</si>
  <si>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</si>
  <si>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</si>
  <si>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</si>
  <si>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</si>
  <si>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</si>
  <si>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</si>
  <si>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</si>
  <si>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</si>
  <si>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</si>
  <si>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</si>
  <si>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</si>
  <si>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</si>
  <si>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</si>
  <si>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</si>
  <si>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</si>
  <si>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</si>
  <si>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</si>
  <si>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</si>
  <si>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</si>
  <si>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</si>
  <si>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</si>
  <si>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</si>
  <si>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</si>
  <si>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</si>
  <si>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</si>
  <si>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</si>
  <si>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</si>
  <si>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</si>
  <si>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</si>
  <si>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</si>
  <si>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</si>
  <si>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</si>
  <si>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</si>
  <si>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</si>
  <si>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</si>
  <si>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</si>
  <si>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</si>
  <si>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</si>
  <si>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</si>
  <si>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</si>
  <si>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</si>
  <si>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</si>
  <si>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</si>
  <si>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</si>
  <si>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</si>
  <si>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</si>
  <si>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</si>
  <si>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</si>
  <si>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</si>
  <si>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</si>
  <si>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</si>
  <si>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</si>
  <si>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</si>
  <si>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</si>
  <si>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</si>
  <si>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</si>
  <si>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</si>
  <si>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</si>
  <si>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</si>
  <si>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</si>
  <si>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</si>
  <si>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</si>
  <si>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</si>
  <si>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</si>
  <si>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</si>
  <si>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</si>
  <si>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</si>
  <si>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</si>
  <si>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</si>
  <si>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</si>
  <si>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</si>
  <si>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</si>
  <si>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</si>
  <si>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</si>
  <si>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</si>
  <si>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</si>
  <si>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</si>
  <si>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</si>
  <si>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</si>
  <si>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</si>
  <si>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</si>
  <si>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</si>
  <si>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</si>
  <si>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</si>
  <si>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</si>
  <si>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</si>
  <si>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</si>
  <si>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</si>
  <si>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</si>
  <si>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</si>
  <si>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</si>
  <si>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</si>
  <si>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</si>
  <si>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</si>
  <si>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</si>
  <si>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</si>
  <si>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</si>
  <si>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</si>
  <si>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</si>
  <si>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</si>
  <si>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</si>
  <si>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</si>
  <si>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</si>
  <si>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</si>
  <si>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</si>
  <si>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</si>
  <si>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</si>
  <si>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</si>
  <si>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</si>
  <si>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</si>
  <si>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</si>
  <si>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</si>
  <si>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</si>
  <si>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</si>
  <si>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</si>
  <si>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</si>
  <si>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</si>
  <si>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</si>
  <si>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</si>
  <si>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</si>
  <si>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</si>
  <si>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</si>
  <si>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</si>
  <si>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</si>
  <si>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</si>
  <si>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</si>
  <si>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</si>
  <si>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</si>
  <si>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</si>
  <si>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</si>
  <si>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</si>
  <si>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</si>
  <si>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</si>
  <si>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</si>
  <si>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</si>
  <si>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</si>
  <si>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</si>
  <si>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</si>
  <si>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</si>
  <si>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</si>
  <si>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</si>
  <si>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</si>
  <si>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</si>
  <si>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</si>
  <si>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</si>
  <si>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</si>
  <si>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</si>
  <si>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</si>
  <si>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</si>
  <si>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</si>
  <si>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</si>
  <si>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</si>
  <si>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</si>
  <si>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</si>
  <si>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</si>
  <si>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</si>
  <si>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</si>
  <si>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</si>
  <si>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</si>
  <si>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</si>
  <si>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</si>
  <si>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</si>
  <si>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</si>
  <si>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</si>
  <si>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</si>
  <si>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</si>
  <si>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</si>
  <si>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</si>
  <si>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</si>
  <si>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</si>
  <si>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</si>
  <si>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</si>
  <si>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</si>
  <si>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</si>
  <si>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</si>
  <si>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</si>
  <si>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</si>
  <si>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</si>
  <si>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</si>
  <si>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</si>
  <si>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</si>
  <si>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</si>
  <si>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</si>
  <si>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</si>
  <si>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</si>
  <si>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</si>
  <si>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</si>
  <si>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</si>
  <si>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</si>
  <si>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</si>
  <si>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</si>
  <si>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</si>
  <si>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</si>
  <si>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</si>
  <si>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</si>
  <si>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</si>
  <si>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</si>
  <si>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</si>
  <si>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</si>
  <si>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</si>
  <si>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</si>
  <si>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</si>
  <si>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</si>
  <si>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</si>
  <si>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</si>
  <si>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</si>
  <si>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</si>
  <si>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</si>
  <si>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</si>
  <si>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</si>
  <si>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</si>
  <si>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</si>
  <si>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</si>
  <si>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</si>
  <si>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</si>
  <si>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</si>
  <si>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</si>
  <si>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</si>
  <si>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</si>
  <si>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</si>
  <si>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</si>
  <si>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</si>
  <si>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</si>
  <si>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</si>
  <si>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</si>
  <si>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</si>
  <si>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</si>
  <si>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</si>
  <si>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</si>
  <si>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</si>
  <si>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</si>
  <si>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</si>
  <si>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</si>
  <si>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</si>
  <si>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</si>
  <si>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</si>
  <si>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</si>
  <si>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</si>
  <si>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</si>
  <si>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</si>
  <si>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</si>
  <si>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</si>
  <si>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</si>
  <si>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</si>
  <si>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</si>
  <si>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</si>
  <si>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</si>
  <si>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</si>
  <si>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</si>
  <si>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</si>
  <si>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</si>
  <si>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</si>
  <si>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</si>
  <si>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</si>
  <si>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</si>
  <si>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</si>
  <si>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</si>
  <si>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</si>
  <si>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</si>
  <si>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</si>
  <si>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</si>
  <si>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</si>
  <si>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</si>
  <si>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</si>
  <si>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</si>
  <si>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</si>
  <si>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</si>
  <si>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</si>
  <si>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</si>
  <si>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</si>
  <si>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</si>
  <si>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</si>
  <si>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</si>
  <si>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</si>
  <si>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</si>
  <si>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</si>
  <si>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</si>
  <si>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</si>
  <si>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</si>
  <si>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</si>
  <si>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</si>
  <si>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</si>
  <si>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</si>
  <si>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</si>
  <si>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</si>
  <si>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</si>
  <si>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</si>
  <si>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</si>
  <si>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</si>
  <si>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</si>
  <si>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</si>
  <si>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</si>
  <si>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</si>
  <si>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</si>
  <si>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</si>
  <si>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</si>
  <si>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</si>
  <si>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</si>
  <si>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</si>
  <si>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</si>
  <si>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</si>
  <si>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</si>
  <si>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</si>
  <si>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</si>
  <si>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</si>
  <si>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</si>
  <si>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</si>
  <si>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</si>
  <si>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</si>
  <si>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</si>
  <si>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</si>
  <si>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</si>
  <si>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</si>
  <si>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</si>
  <si>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</si>
  <si>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</si>
  <si>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</si>
  <si>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</si>
  <si>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</si>
  <si>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</si>
  <si>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</si>
  <si>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</si>
  <si>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</si>
  <si>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</si>
  <si>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</si>
  <si>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</si>
  <si>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</si>
  <si>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</si>
  <si>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</si>
  <si>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</si>
  <si>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</si>
  <si>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</si>
  <si>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</si>
  <si>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</si>
  <si>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</si>
  <si>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</si>
  <si>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</si>
  <si>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</si>
  <si>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</si>
  <si>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</si>
  <si>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</si>
  <si>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</si>
  <si>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</si>
  <si>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</si>
  <si>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</si>
  <si>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</si>
  <si>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</si>
  <si>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</si>
  <si>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</si>
  <si>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</si>
  <si>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</si>
  <si>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</si>
  <si>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</si>
  <si>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</si>
  <si>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</si>
  <si>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</si>
  <si>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</si>
  <si>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</si>
  <si>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</si>
  <si>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</si>
  <si>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</si>
  <si>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</si>
  <si>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</si>
  <si>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</si>
  <si>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</si>
  <si>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</si>
  <si>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</si>
  <si>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</si>
  <si>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</si>
  <si>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</si>
  <si>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</si>
  <si>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</si>
  <si>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</si>
  <si>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</si>
  <si>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</si>
  <si>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</si>
  <si>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</si>
  <si>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</si>
  <si>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</si>
  <si>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</si>
  <si>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</si>
  <si>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</si>
  <si>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</si>
  <si>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</si>
  <si>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</si>
  <si>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</si>
  <si>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</si>
  <si>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</si>
  <si>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</si>
  <si>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</si>
  <si>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</si>
  <si>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</si>
  <si>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</si>
  <si>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</si>
  <si>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</si>
  <si>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</si>
  <si>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</si>
  <si>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</si>
  <si>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</si>
  <si>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</si>
  <si>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</si>
  <si>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</si>
  <si>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</si>
  <si>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</si>
  <si>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</si>
  <si>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</si>
  <si>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</si>
  <si>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</si>
  <si>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</si>
  <si>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</si>
  <si>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</si>
  <si>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</si>
  <si>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</si>
  <si>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</si>
  <si>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</si>
  <si>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</si>
  <si>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</si>
  <si>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</si>
  <si>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</si>
  <si>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</si>
  <si>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</si>
  <si>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</si>
  <si>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</si>
  <si>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</si>
  <si>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</si>
  <si>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</si>
  <si>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</si>
  <si>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</si>
  <si>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</si>
  <si>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</si>
  <si>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</si>
  <si>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</si>
  <si>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</si>
  <si>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</si>
  <si>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</si>
  <si>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</si>
  <si>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</si>
  <si>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</si>
  <si>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</si>
  <si>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</si>
  <si>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</si>
  <si>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</si>
  <si>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</si>
  <si>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</si>
  <si>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</si>
  <si>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</si>
  <si>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</si>
  <si>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</si>
  <si>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</si>
  <si>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</si>
  <si>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</si>
  <si>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</si>
  <si>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</si>
  <si>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</si>
  <si>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</si>
  <si>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</si>
  <si>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</si>
  <si>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</si>
  <si>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</si>
  <si>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</si>
  <si>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</si>
  <si>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</si>
  <si>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</si>
  <si>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</si>
  <si>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</si>
  <si>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</si>
  <si>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</si>
  <si>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</si>
  <si>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</si>
  <si>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</si>
  <si>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</si>
  <si>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</si>
  <si>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</si>
  <si>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</si>
  <si>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</si>
  <si>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</si>
  <si>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</si>
  <si>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</si>
  <si>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</si>
  <si>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</si>
  <si>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</si>
  <si>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</si>
  <si>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</si>
  <si>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</si>
  <si>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</si>
  <si>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</si>
  <si>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</si>
  <si>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</si>
  <si>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</si>
  <si>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</si>
  <si>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</si>
  <si>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</si>
  <si>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</si>
  <si>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</si>
  <si>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</si>
  <si>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</si>
  <si>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</si>
  <si>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</si>
  <si>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</si>
  <si>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</si>
  <si>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</si>
  <si>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</si>
  <si>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</si>
  <si>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</si>
  <si>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</si>
  <si>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</si>
  <si>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</si>
  <si>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</si>
  <si>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</si>
  <si>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</si>
  <si>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</si>
  <si>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</si>
  <si>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</si>
  <si>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</si>
  <si>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</si>
  <si>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</si>
  <si>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</si>
  <si>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</si>
  <si>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</si>
  <si>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</si>
  <si>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</si>
  <si>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</si>
  <si>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</si>
  <si>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</si>
  <si>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</si>
  <si>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</si>
  <si>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</si>
  <si>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</si>
  <si>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</si>
  <si>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</si>
  <si>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</si>
  <si>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</si>
  <si>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</si>
  <si>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</si>
  <si>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</si>
  <si>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</si>
  <si>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</si>
  <si>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</si>
  <si>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</si>
  <si>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</si>
  <si>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</si>
  <si>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</si>
  <si>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</si>
  <si>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</si>
  <si>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</si>
  <si>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</si>
  <si>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</si>
  <si>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</si>
  <si>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</si>
  <si>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</si>
  <si>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</si>
  <si>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</si>
  <si>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</si>
  <si>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</si>
  <si>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</si>
  <si>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</si>
  <si>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</si>
  <si>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</si>
  <si>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</si>
  <si>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</si>
  <si>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</si>
  <si>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</si>
  <si>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</si>
  <si>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</si>
  <si>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</si>
  <si>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</si>
  <si>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</si>
  <si>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</si>
  <si>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</si>
  <si>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</si>
  <si>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</si>
  <si>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</si>
  <si>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</si>
  <si>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</si>
  <si>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</si>
  <si>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</si>
  <si>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</si>
  <si>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</si>
  <si>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</si>
  <si>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</si>
  <si>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</si>
  <si>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</si>
  <si>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</si>
  <si>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</si>
  <si>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</si>
  <si>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</si>
  <si>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</si>
  <si>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</si>
  <si>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</si>
  <si>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</si>
  <si>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</si>
  <si>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</si>
  <si>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</si>
  <si>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</si>
  <si>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</si>
  <si>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</si>
  <si>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</si>
  <si>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</si>
  <si>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</si>
  <si>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</si>
  <si>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</si>
  <si>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</si>
  <si>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</si>
  <si>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</si>
  <si>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</si>
  <si>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</si>
  <si>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</si>
  <si>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</si>
  <si>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</si>
  <si>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</si>
  <si>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</si>
  <si>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</si>
  <si>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</si>
  <si>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</si>
  <si>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</si>
  <si>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</si>
  <si>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</si>
  <si>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</si>
  <si>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</si>
  <si>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</si>
  <si>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</si>
  <si>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</si>
  <si>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</si>
  <si>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</si>
  <si>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</si>
  <si>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</si>
  <si>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</si>
  <si>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</si>
  <si>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</si>
  <si>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</si>
  <si>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</si>
  <si>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</si>
  <si>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</si>
  <si>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</si>
  <si>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</si>
  <si>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</si>
  <si>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</si>
  <si>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</si>
  <si>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</si>
  <si>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</si>
  <si>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</si>
  <si>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</si>
  <si>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</si>
  <si>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</si>
  <si>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</si>
  <si>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</si>
  <si>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</si>
  <si>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</si>
  <si>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</si>
  <si>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</si>
  <si>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</si>
  <si>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</si>
  <si>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</si>
  <si>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</si>
  <si>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</si>
  <si>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</si>
  <si>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</si>
  <si>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</si>
  <si>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</si>
  <si>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</si>
  <si>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</si>
  <si>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</si>
  <si>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</si>
  <si>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</si>
  <si>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</si>
  <si>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</si>
  <si>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</si>
  <si>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</si>
  <si>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</si>
  <si>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</si>
  <si>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</si>
  <si>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</si>
  <si>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</si>
  <si>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</si>
  <si>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</si>
  <si>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</si>
  <si>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</si>
  <si>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</si>
  <si>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</si>
  <si>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</si>
  <si>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</si>
  <si>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</si>
  <si>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</si>
  <si>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</si>
  <si>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</si>
  <si>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</si>
  <si>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</si>
  <si>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</si>
  <si>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</si>
  <si>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</si>
  <si>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</si>
  <si>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</si>
  <si>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</si>
  <si>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</si>
  <si>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</si>
  <si>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</si>
  <si>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</si>
  <si>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</si>
  <si>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</si>
  <si>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</si>
  <si>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</si>
  <si>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</si>
  <si>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</si>
  <si>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</si>
  <si>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</si>
  <si>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</si>
  <si>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</si>
  <si>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</si>
  <si>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</si>
  <si>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</si>
  <si>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</si>
  <si>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</si>
  <si>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</si>
  <si>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</si>
  <si>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</si>
  <si>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</si>
  <si>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</si>
  <si>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</si>
  <si>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</si>
  <si>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</si>
  <si>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</si>
  <si>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</si>
  <si>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</si>
  <si>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</si>
  <si>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</si>
  <si>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</si>
  <si>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</si>
  <si>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</si>
  <si>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</si>
  <si>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</si>
  <si>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</si>
  <si>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</si>
  <si>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</si>
  <si>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</si>
  <si>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</si>
  <si>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</si>
  <si>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</si>
  <si>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</si>
  <si>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</si>
  <si>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</si>
  <si>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</si>
  <si>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</si>
  <si>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</si>
  <si>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</si>
  <si>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</si>
  <si>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</si>
  <si>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</si>
  <si>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</si>
  <si>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</si>
  <si>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</si>
  <si>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</si>
  <si>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</si>
  <si>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</si>
  <si>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</si>
  <si>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</si>
  <si>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</si>
  <si>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</si>
  <si>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</si>
  <si>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</si>
  <si>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</si>
  <si>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</si>
  <si>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</si>
  <si>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</si>
  <si>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</si>
  <si>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</si>
  <si>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</si>
  <si>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</si>
  <si>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</si>
  <si>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</si>
  <si>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</si>
  <si>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</si>
  <si>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</si>
  <si>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</si>
  <si>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</si>
  <si>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</si>
  <si>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</si>
  <si>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</si>
  <si>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</si>
  <si>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</si>
  <si>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</si>
  <si>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</si>
  <si>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</si>
  <si>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</si>
  <si>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</si>
  <si>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</si>
  <si>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</si>
  <si>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</si>
  <si>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</si>
  <si>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</si>
  <si>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</si>
  <si>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</si>
  <si>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</si>
  <si>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</si>
  <si>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</si>
  <si>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</si>
  <si>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</si>
  <si>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</si>
  <si>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</si>
  <si>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</si>
  <si>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</si>
  <si>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</si>
  <si>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</si>
  <si>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</si>
  <si>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</si>
  <si>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</si>
  <si>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</si>
  <si>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</si>
  <si>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</si>
  <si>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</si>
  <si>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</si>
  <si>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</si>
  <si>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</si>
  <si>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</si>
  <si>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</si>
  <si>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</si>
  <si>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</si>
  <si>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</si>
  <si>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</si>
  <si>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</si>
  <si>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</si>
  <si>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</si>
  <si>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</si>
  <si>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</si>
  <si>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</si>
  <si>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</si>
  <si>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</si>
  <si>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</si>
  <si>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</si>
  <si>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</si>
  <si>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</si>
  <si>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</si>
  <si>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</si>
  <si>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</si>
  <si>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</si>
  <si>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</si>
  <si>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</si>
  <si>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</si>
  <si>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</si>
  <si>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</si>
  <si>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</si>
  <si>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</si>
  <si>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</si>
  <si>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</si>
  <si>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</si>
  <si>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</si>
  <si>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</si>
  <si>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</si>
  <si>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</si>
  <si>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</si>
  <si>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</si>
  <si>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</si>
  <si>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</si>
  <si>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</si>
  <si>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</si>
  <si>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</si>
  <si>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</si>
  <si>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</si>
  <si>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</si>
  <si>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</si>
  <si>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</si>
  <si>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</si>
  <si>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</si>
  <si>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</si>
  <si>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</si>
  <si>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</si>
  <si>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</si>
  <si>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</si>
  <si>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</si>
  <si>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</si>
  <si>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</si>
  <si>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</si>
  <si>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</si>
  <si>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</si>
  <si>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</si>
  <si>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</si>
  <si>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</si>
  <si>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</si>
  <si>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</si>
  <si>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</si>
  <si>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</si>
  <si>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</si>
  <si>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</si>
  <si>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</si>
  <si>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</si>
  <si>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</si>
  <si>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</si>
  <si>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</si>
  <si>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</si>
  <si>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</si>
  <si>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</si>
  <si>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</si>
  <si>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</si>
  <si>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</si>
  <si>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</si>
  <si>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</si>
  <si>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</si>
  <si>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</si>
  <si>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</si>
  <si>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</si>
  <si>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</si>
  <si>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</si>
  <si>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</si>
  <si>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</si>
  <si>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</si>
  <si>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</si>
  <si>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</si>
  <si>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</si>
  <si>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</si>
  <si>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</si>
  <si>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</si>
  <si>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</si>
  <si>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</si>
  <si>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</si>
  <si>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</si>
  <si>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</si>
  <si>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</si>
  <si>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</si>
  <si>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</si>
  <si>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</si>
  <si>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</si>
  <si>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</si>
  <si>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</si>
  <si>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</si>
  <si>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</si>
  <si>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</si>
  <si>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</si>
  <si>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</si>
  <si>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</si>
  <si>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</si>
  <si>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</si>
  <si>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</si>
  <si>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</si>
  <si>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</si>
  <si>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</si>
  <si>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</si>
  <si>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</si>
  <si>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</si>
  <si>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</si>
  <si>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</si>
  <si>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</si>
  <si>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</si>
  <si>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</si>
  <si>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</si>
  <si>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</si>
  <si>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</si>
  <si>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</si>
  <si>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</si>
  <si>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</si>
  <si>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</si>
  <si>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</si>
  <si>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</si>
  <si>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</si>
  <si>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</si>
  <si>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</si>
  <si>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</si>
  <si>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</si>
  <si>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</si>
  <si>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</si>
  <si>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</si>
  <si>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</si>
  <si>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</si>
  <si>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</si>
  <si>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</si>
  <si>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</si>
  <si>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</si>
  <si>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</si>
  <si>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</si>
  <si>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</si>
  <si>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</si>
  <si>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</si>
  <si>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</si>
  <si>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</si>
  <si>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</si>
  <si>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</si>
  <si>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</si>
  <si>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</si>
  <si>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</si>
  <si>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</si>
  <si>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</si>
  <si>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</si>
  <si>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</si>
  <si>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</si>
  <si>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</si>
  <si>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</si>
  <si>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</si>
  <si>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</si>
  <si>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</si>
  <si>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</si>
  <si>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</si>
  <si>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</si>
  <si>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</si>
  <si>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</si>
  <si>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</si>
  <si>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</si>
  <si>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</si>
  <si>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</si>
  <si>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</si>
  <si>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</si>
  <si>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</si>
  <si>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</si>
  <si>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</si>
  <si>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</si>
  <si>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</si>
  <si>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</si>
  <si>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</si>
  <si>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</si>
  <si>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</si>
  <si>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</si>
  <si>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</si>
  <si>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</si>
  <si>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</si>
  <si>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</si>
  <si>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</si>
  <si>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</si>
  <si>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</si>
  <si>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</si>
  <si>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</si>
  <si>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</si>
  <si>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</si>
  <si>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</si>
  <si>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</si>
  <si>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</si>
  <si>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</si>
  <si>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</si>
  <si>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</si>
  <si>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</si>
  <si>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</si>
  <si>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</si>
  <si>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</si>
  <si>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</si>
  <si>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</si>
  <si>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</si>
  <si>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</si>
  <si>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</si>
  <si>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</si>
  <si>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</si>
  <si>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</si>
  <si>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</si>
  <si>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</si>
  <si>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</si>
  <si>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</si>
  <si>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</si>
  <si>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</si>
  <si>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</si>
  <si>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</si>
  <si>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</si>
  <si>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</si>
  <si>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</si>
  <si>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</si>
  <si>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</si>
  <si>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</si>
  <si>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</si>
  <si>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</si>
  <si>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</si>
  <si>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</si>
  <si>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</si>
  <si>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</si>
  <si>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</si>
  <si>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</si>
  <si>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</si>
  <si>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</si>
  <si>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</si>
  <si>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</si>
  <si>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</si>
  <si>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</si>
  <si>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</si>
  <si>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</si>
  <si>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</si>
  <si>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</si>
  <si>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</si>
  <si>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</si>
  <si>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</si>
  <si>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</si>
  <si>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</si>
  <si>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</si>
  <si>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</si>
  <si>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</si>
  <si>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</si>
  <si>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</si>
  <si>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</si>
  <si>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</si>
  <si>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</si>
  <si>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</si>
  <si>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</si>
  <si>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</si>
  <si>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</si>
  <si>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</si>
  <si>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</si>
  <si>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</si>
  <si>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</si>
  <si>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</si>
  <si>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</si>
  <si>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</si>
  <si>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</si>
  <si>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</si>
  <si>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</si>
  <si>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</si>
  <si>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</si>
  <si>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</si>
  <si>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</si>
  <si>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</si>
  <si>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</si>
  <si>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</si>
  <si>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</si>
  <si>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</si>
  <si>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</si>
  <si>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</si>
  <si>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</si>
  <si>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</si>
  <si>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</si>
  <si>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</si>
  <si>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</si>
  <si>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</si>
  <si>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</si>
  <si>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</si>
  <si>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</si>
  <si>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</si>
  <si>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</si>
  <si>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</si>
  <si>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</si>
  <si>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</si>
  <si>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</si>
  <si>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</si>
  <si>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</si>
  <si>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</si>
  <si>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</si>
  <si>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</si>
  <si>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</si>
  <si>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</si>
  <si>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</si>
  <si>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</si>
  <si>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</si>
  <si>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</si>
  <si>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</si>
  <si>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</si>
  <si>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</si>
  <si>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</si>
  <si>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</si>
  <si>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</si>
  <si>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</si>
  <si>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</si>
  <si>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</si>
  <si>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</si>
  <si>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</si>
  <si>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</si>
  <si>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</si>
  <si>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</si>
  <si>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</si>
  <si>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</si>
  <si>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</si>
  <si>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</si>
  <si>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</si>
  <si>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</si>
  <si>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</si>
  <si>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</si>
  <si>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</si>
  <si>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</si>
  <si>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</si>
  <si>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</si>
  <si>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</si>
  <si>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</si>
  <si>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</si>
  <si>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</si>
  <si>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</si>
  <si>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</si>
  <si>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</si>
  <si>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</si>
  <si>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</si>
  <si>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</si>
  <si>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</si>
  <si>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</si>
  <si>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</si>
  <si>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</si>
  <si>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</si>
  <si>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</si>
  <si>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</si>
  <si>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</si>
  <si>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</si>
  <si>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</si>
  <si>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</si>
  <si>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</si>
  <si>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</si>
  <si>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</si>
  <si>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</si>
  <si>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</si>
  <si>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</si>
  <si>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</si>
  <si>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</si>
  <si>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</si>
  <si>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</si>
  <si>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</si>
  <si>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</si>
  <si>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</si>
  <si>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</si>
  <si>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</si>
  <si>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</si>
  <si>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</si>
  <si>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</si>
  <si>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</si>
  <si>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</si>
  <si>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</si>
  <si>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</si>
  <si>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</si>
  <si>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</si>
  <si>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</si>
  <si>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</si>
  <si>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</si>
  <si>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</si>
  <si>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</si>
  <si>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</si>
  <si>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</si>
  <si>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</si>
  <si>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</si>
  <si>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</si>
  <si>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</si>
  <si>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</si>
  <si>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</si>
  <si>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</si>
  <si>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</si>
  <si>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</si>
  <si>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</si>
  <si>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</si>
  <si>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</si>
  <si>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</si>
  <si>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</si>
  <si>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</si>
  <si>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</si>
  <si>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</si>
  <si>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</si>
  <si>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</si>
  <si>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</si>
  <si>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</si>
  <si>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</si>
  <si>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</si>
  <si>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</si>
  <si>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</si>
  <si>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</si>
  <si>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</si>
  <si>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</si>
  <si>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</si>
  <si>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</si>
  <si>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</si>
  <si>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</si>
  <si>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</si>
  <si>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</si>
  <si>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</si>
  <si>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</si>
  <si>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</si>
  <si>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</si>
  <si>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</si>
  <si>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</si>
  <si>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</si>
  <si>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</si>
  <si>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</si>
  <si>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</si>
  <si>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</si>
  <si>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</si>
  <si>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</si>
  <si>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</si>
  <si>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</si>
  <si>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</si>
  <si>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</si>
  <si>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</si>
  <si>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</si>
  <si>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</si>
  <si>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</si>
  <si>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</si>
  <si>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</si>
  <si>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</si>
  <si>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</si>
  <si>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</si>
  <si>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</si>
  <si>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</si>
  <si>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</si>
  <si>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</si>
  <si>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</si>
  <si>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</si>
  <si>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</si>
  <si>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</si>
  <si>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</si>
  <si>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</si>
  <si>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</si>
  <si>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</si>
  <si>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</si>
  <si>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</si>
  <si>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</si>
  <si>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</si>
  <si>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</si>
  <si>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</si>
  <si>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</si>
  <si>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</si>
  <si>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</si>
  <si>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</si>
  <si>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</si>
  <si>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</si>
  <si>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</si>
  <si>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</si>
  <si>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</si>
  <si>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</si>
  <si>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</si>
  <si>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</si>
  <si>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</si>
  <si>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</si>
  <si>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</si>
  <si>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</si>
  <si>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</si>
  <si>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</si>
  <si>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</si>
  <si>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</si>
  <si>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</si>
  <si>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</si>
  <si>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</si>
  <si>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</si>
  <si>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</si>
  <si>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</si>
  <si>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</si>
  <si>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</si>
  <si>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</si>
  <si>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</si>
  <si>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</si>
  <si>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</si>
  <si>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</si>
  <si>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</si>
  <si>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</si>
  <si>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</si>
  <si>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</si>
  <si>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</si>
  <si>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</si>
  <si>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</si>
  <si>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</si>
  <si>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</si>
  <si>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</si>
  <si>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</si>
  <si>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</si>
  <si>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</si>
  <si>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</si>
  <si>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</si>
  <si>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</si>
  <si>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</si>
  <si>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</si>
  <si>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</si>
  <si>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</si>
  <si>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</si>
  <si>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</si>
  <si>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</si>
  <si>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</si>
  <si>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</si>
  <si>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</si>
  <si>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</si>
  <si>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</si>
  <si>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</si>
  <si>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</si>
  <si>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</si>
  <si>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</si>
  <si>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</si>
  <si>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</si>
  <si>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</si>
  <si>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</si>
  <si>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</si>
  <si>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</si>
  <si>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</si>
  <si>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</si>
  <si>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</si>
  <si>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</si>
  <si>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</si>
  <si>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</si>
  <si>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</si>
  <si>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</si>
  <si>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</si>
  <si>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</si>
  <si>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</si>
  <si>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</si>
  <si>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</si>
  <si>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</si>
  <si>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</si>
  <si>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</si>
  <si>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</si>
  <si>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</si>
  <si>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</si>
  <si>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</si>
  <si>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</si>
  <si>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</si>
  <si>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</si>
  <si>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</si>
  <si>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</si>
  <si>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</si>
  <si>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</si>
  <si>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</si>
  <si>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</si>
  <si>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</si>
  <si>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</si>
  <si>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</si>
  <si>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</si>
  <si>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</si>
  <si>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</si>
  <si>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</si>
  <si>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</si>
  <si>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</si>
  <si>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</si>
  <si>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</si>
  <si>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</si>
  <si>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</si>
  <si>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</si>
  <si>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</si>
  <si>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</si>
  <si>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</si>
  <si>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</si>
  <si>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</si>
  <si>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</si>
  <si>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</si>
  <si>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</si>
  <si>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</si>
  <si>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</si>
  <si>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</si>
  <si>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</si>
  <si>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</si>
  <si>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</si>
  <si>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</si>
  <si>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</si>
  <si>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</si>
  <si>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</si>
  <si>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</si>
  <si>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</si>
  <si>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</si>
  <si>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</si>
  <si>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</si>
  <si>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</si>
  <si>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</si>
  <si>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</si>
  <si>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</si>
  <si>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</si>
  <si>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</si>
  <si>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</si>
  <si>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</si>
  <si>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</si>
  <si>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</si>
  <si>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</si>
  <si>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</si>
  <si>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</si>
  <si>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</si>
  <si>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</si>
  <si>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</si>
  <si>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</si>
  <si>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</si>
  <si>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</si>
  <si>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</si>
  <si>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</si>
  <si>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</si>
  <si>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</si>
  <si>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</si>
  <si>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</si>
  <si>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</si>
  <si>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</si>
  <si>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</si>
  <si>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</si>
  <si>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</si>
  <si>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</si>
  <si>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</si>
  <si>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</si>
  <si>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</si>
  <si>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</si>
  <si>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</si>
  <si>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</si>
  <si>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</si>
  <si>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</si>
  <si>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</si>
  <si>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</si>
  <si>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</si>
  <si>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</si>
  <si>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</si>
  <si>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</si>
  <si>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</si>
  <si>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</si>
  <si>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</si>
  <si>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</si>
  <si>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</si>
  <si>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</si>
  <si>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</si>
  <si>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</si>
  <si>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</si>
  <si>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</si>
  <si>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</si>
  <si>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</si>
  <si>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</si>
  <si>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</si>
  <si>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</si>
  <si>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</si>
  <si>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</si>
  <si>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</si>
  <si>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</si>
  <si>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</si>
  <si>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</si>
  <si>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</si>
  <si>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</si>
  <si>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</si>
  <si>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</si>
  <si>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</si>
  <si>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</si>
  <si>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</si>
  <si>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</si>
  <si>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</si>
  <si>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</si>
  <si>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</si>
  <si>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</si>
  <si>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</si>
  <si>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</si>
  <si>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</si>
  <si>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</si>
  <si>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</si>
  <si>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</si>
  <si>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</si>
  <si>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</si>
  <si>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</si>
  <si>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</si>
  <si>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</si>
  <si>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</si>
  <si>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</si>
  <si>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</si>
  <si>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</si>
  <si>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</si>
  <si>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</si>
  <si>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</si>
  <si>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</si>
  <si>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</si>
  <si>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</si>
  <si>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</si>
  <si>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</si>
  <si>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</si>
  <si>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</si>
  <si>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</si>
  <si>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</si>
  <si>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</si>
  <si>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</si>
  <si>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</si>
  <si>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</si>
  <si>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</si>
  <si>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</si>
  <si>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</si>
  <si>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</si>
  <si>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</si>
  <si>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</si>
  <si>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</si>
  <si>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</si>
  <si>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</si>
  <si>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</si>
  <si>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</si>
  <si>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</si>
  <si>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</si>
  <si>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</si>
  <si>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</si>
  <si>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</si>
  <si>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</si>
  <si>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</si>
  <si>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</si>
  <si>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</si>
  <si>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</si>
  <si>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</si>
  <si>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</si>
  <si>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</si>
  <si>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</si>
  <si>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</si>
  <si>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</si>
  <si>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</si>
  <si>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</si>
  <si>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</si>
  <si>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</si>
  <si>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</si>
  <si>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</si>
  <si>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</si>
  <si>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</si>
  <si>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</si>
  <si>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</si>
  <si>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</si>
  <si>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</si>
  <si>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</si>
  <si>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</si>
  <si>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</si>
  <si>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</si>
  <si>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</si>
  <si>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</si>
  <si>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</si>
  <si>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</si>
  <si>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</si>
  <si>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</si>
  <si>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</si>
  <si>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</si>
  <si>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</si>
  <si>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</si>
  <si>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</si>
  <si>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</si>
  <si>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</si>
  <si>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</si>
  <si>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</si>
  <si>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</si>
  <si>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</si>
  <si>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</si>
  <si>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</si>
  <si>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</si>
  <si>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</si>
  <si>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</si>
  <si>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</si>
  <si>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</si>
  <si>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</si>
  <si>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</si>
  <si>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</si>
  <si>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</si>
  <si>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</si>
  <si>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</si>
  <si>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</si>
  <si>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</si>
  <si>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</si>
  <si>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</si>
  <si>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</si>
  <si>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</si>
  <si>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</si>
  <si>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</si>
  <si>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</si>
  <si>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</si>
  <si>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</si>
  <si>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</si>
  <si>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</si>
  <si>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</si>
  <si>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</si>
  <si>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</si>
  <si>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</si>
  <si>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</si>
  <si>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</si>
  <si>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</si>
  <si>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</si>
  <si>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</si>
  <si>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</si>
  <si>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</si>
  <si>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</si>
  <si>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</si>
  <si>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</si>
  <si>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</si>
  <si>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</si>
  <si>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</si>
  <si>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</si>
  <si>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</si>
  <si>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</si>
  <si>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</si>
  <si>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</si>
  <si>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</si>
  <si>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</si>
  <si>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</si>
  <si>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</si>
  <si>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</si>
  <si>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</si>
  <si>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</si>
  <si>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</si>
  <si>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</si>
  <si>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</si>
  <si>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</si>
  <si>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</si>
  <si>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</si>
  <si>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</si>
  <si>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</si>
  <si>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</si>
  <si>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</si>
  <si>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</si>
  <si>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</si>
  <si>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</si>
  <si>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</si>
  <si>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</si>
  <si>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</si>
  <si>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</si>
  <si>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</si>
  <si>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</si>
  <si>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</si>
  <si>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</si>
  <si>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</si>
  <si>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</si>
  <si>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</si>
  <si>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</si>
  <si>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</si>
  <si>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</si>
  <si>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</si>
  <si>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</si>
  <si>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</si>
  <si>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</si>
  <si>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</si>
  <si>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</si>
  <si>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</si>
  <si>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</si>
  <si>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</si>
  <si>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</si>
  <si>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</si>
  <si>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</si>
  <si>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</si>
  <si>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</si>
  <si>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</si>
  <si>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</si>
  <si>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</si>
  <si>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</si>
  <si>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</si>
  <si>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</si>
  <si>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</si>
  <si>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</si>
  <si>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</si>
  <si>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</si>
  <si>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</si>
  <si>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</si>
  <si>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</si>
  <si>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</si>
  <si>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</si>
  <si>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</si>
  <si>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</si>
  <si>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</si>
  <si>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</si>
  <si>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</si>
  <si>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</si>
  <si>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</si>
  <si>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</si>
  <si>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</si>
  <si>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</si>
  <si>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</si>
  <si>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</si>
  <si>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</si>
  <si>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</si>
  <si>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</si>
  <si>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</si>
  <si>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</si>
  <si>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</si>
  <si>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</si>
  <si>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</si>
  <si>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</si>
  <si>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</si>
  <si>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</si>
  <si>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</si>
  <si>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</si>
  <si>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</si>
  <si>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</si>
  <si>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</si>
  <si>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</si>
  <si>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</si>
  <si>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</si>
  <si>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</si>
  <si>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</si>
  <si>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</si>
  <si>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</si>
  <si>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</si>
  <si>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</si>
  <si>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</si>
  <si>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</si>
  <si>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</si>
  <si>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</si>
  <si>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</si>
  <si>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</si>
  <si>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</si>
  <si>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</si>
  <si>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</si>
  <si>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</si>
  <si>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</si>
  <si>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</si>
  <si>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</si>
  <si>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</si>
  <si>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</si>
  <si>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</si>
  <si>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</si>
  <si>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</si>
  <si>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</si>
  <si>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</si>
  <si>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</si>
  <si>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</si>
  <si>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</si>
  <si>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</si>
  <si>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</si>
  <si>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</si>
  <si>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</si>
  <si>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</si>
  <si>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</si>
  <si>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</si>
  <si>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</si>
  <si>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</si>
  <si>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</si>
  <si>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</si>
  <si>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</si>
  <si>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</si>
  <si>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</si>
  <si>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</si>
  <si>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</si>
  <si>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</si>
  <si>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</si>
  <si>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</si>
  <si>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</si>
  <si>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</si>
  <si>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</si>
  <si>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</si>
  <si>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</si>
  <si>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</si>
  <si>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</si>
  <si>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</si>
  <si>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</si>
  <si>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</si>
  <si>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</si>
  <si>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</si>
  <si>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</si>
  <si>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</si>
  <si>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</si>
  <si>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</si>
  <si>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</si>
  <si>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</si>
  <si>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</si>
  <si>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</si>
  <si>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</si>
  <si>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</si>
  <si>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</si>
  <si>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</si>
  <si>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</si>
  <si>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</si>
  <si>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</si>
  <si>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</si>
  <si>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</si>
  <si>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</si>
  <si>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</si>
  <si>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</si>
  <si>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</si>
  <si>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</si>
  <si>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</si>
  <si>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</si>
  <si>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</si>
  <si>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</si>
  <si>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</si>
  <si>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</si>
  <si>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</si>
  <si>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</si>
  <si>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</si>
  <si>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</si>
  <si>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</si>
  <si>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</si>
  <si>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</si>
  <si>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</si>
  <si>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</si>
  <si>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</si>
  <si>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</si>
  <si>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</si>
  <si>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</si>
  <si>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</si>
  <si>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</si>
  <si>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</si>
  <si>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</si>
  <si>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</si>
  <si>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</si>
  <si>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</si>
  <si>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</si>
  <si>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</si>
  <si>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</si>
  <si>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</si>
  <si>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</si>
  <si>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</si>
  <si>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</si>
  <si>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</si>
  <si>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</si>
  <si>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</si>
  <si>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</si>
  <si>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</si>
  <si>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</si>
  <si>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</si>
  <si>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</si>
  <si>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</si>
  <si>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</si>
  <si>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</si>
  <si>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</si>
  <si>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</si>
  <si>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</si>
  <si>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</si>
  <si>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</si>
  <si>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</si>
  <si>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</si>
  <si>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</si>
  <si>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</si>
  <si>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</si>
  <si>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</si>
  <si>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</si>
  <si>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</si>
  <si>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</si>
  <si>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</si>
  <si>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</si>
  <si>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</si>
  <si>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</si>
  <si>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</si>
  <si>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</si>
  <si>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</si>
  <si>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</si>
  <si>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</si>
  <si>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</si>
  <si>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</si>
  <si>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</si>
  <si>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</si>
  <si>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</si>
  <si>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</si>
  <si>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</si>
  <si>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</si>
  <si>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</si>
  <si>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</si>
  <si>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</si>
  <si>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</si>
  <si>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</si>
  <si>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</si>
  <si>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</si>
  <si>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</si>
  <si>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</si>
  <si>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</si>
  <si>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</si>
  <si>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</si>
  <si>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</si>
  <si>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</si>
  <si>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</si>
  <si>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</si>
  <si>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</si>
  <si>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</si>
  <si>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</si>
  <si>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</si>
  <si>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</si>
  <si>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</si>
  <si>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</si>
  <si>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</si>
  <si>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</si>
  <si>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</si>
  <si>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</si>
  <si>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</si>
  <si>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</si>
  <si>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</si>
  <si>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</si>
  <si>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</si>
  <si>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</si>
  <si>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</si>
  <si>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</si>
  <si>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</si>
  <si>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</si>
  <si>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</si>
  <si>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</si>
  <si>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</si>
  <si>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</si>
  <si>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</si>
  <si>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</si>
  <si>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</si>
  <si>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</si>
  <si>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</si>
  <si>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</si>
  <si>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</si>
  <si>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</si>
  <si>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</si>
  <si>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</si>
  <si>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</si>
  <si>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</si>
  <si>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</si>
  <si>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</si>
  <si>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</si>
  <si>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</si>
  <si>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</si>
  <si>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</si>
  <si>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</si>
  <si>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</si>
  <si>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</si>
  <si>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</si>
  <si>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</si>
  <si>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</si>
  <si>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</si>
  <si>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</si>
  <si>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</si>
  <si>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</si>
  <si>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</si>
  <si>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</si>
  <si>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</si>
  <si>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</si>
  <si>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</si>
  <si>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</si>
  <si>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</si>
  <si>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</si>
  <si>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</si>
  <si>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</si>
  <si>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</si>
  <si>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</si>
  <si>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</si>
  <si>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</si>
  <si>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</si>
  <si>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</si>
  <si>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</si>
  <si>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</si>
  <si>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</si>
  <si>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</si>
  <si>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</si>
  <si>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</si>
  <si>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</si>
  <si>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</si>
  <si>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</si>
  <si>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</si>
  <si>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</si>
  <si>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</si>
  <si>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</si>
  <si>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</si>
  <si>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</si>
  <si>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</si>
  <si>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</si>
  <si>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</si>
  <si>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</si>
  <si>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</si>
  <si>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</si>
  <si>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</si>
  <si>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</si>
  <si>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</si>
  <si>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</si>
  <si>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</si>
  <si>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</si>
  <si>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</si>
  <si>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</si>
  <si>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</si>
  <si>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</si>
  <si>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</si>
  <si>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</si>
  <si>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</si>
  <si>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</si>
  <si>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</si>
  <si>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</si>
  <si>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</si>
  <si>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</si>
  <si>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</si>
  <si>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</si>
  <si>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</si>
  <si>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</si>
  <si>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</si>
  <si>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</si>
  <si>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</si>
  <si>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</si>
  <si>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</si>
  <si>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</si>
  <si>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</si>
  <si>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</si>
  <si>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</si>
  <si>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</si>
  <si>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</si>
  <si>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</si>
  <si>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</si>
  <si>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</si>
  <si>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</si>
  <si>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</si>
  <si>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</si>
  <si>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</si>
  <si>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</si>
  <si>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</si>
  <si>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</si>
  <si>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</si>
  <si>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</si>
  <si>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</si>
  <si>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</si>
  <si>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</si>
  <si>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</si>
  <si>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</si>
  <si>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</si>
  <si>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</si>
  <si>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</si>
  <si>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</si>
  <si>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</si>
  <si>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</si>
  <si>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</si>
  <si>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</si>
  <si>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</si>
  <si>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</si>
  <si>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</si>
  <si>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</si>
  <si>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</si>
  <si>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</si>
  <si>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</si>
  <si>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</si>
  <si>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</si>
  <si>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</si>
  <si>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</si>
  <si>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</si>
  <si>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</si>
  <si>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</si>
  <si>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</si>
  <si>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</si>
  <si>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</si>
  <si>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</si>
  <si>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</si>
  <si>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</si>
  <si>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</si>
  <si>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</si>
  <si>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</si>
  <si>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</si>
  <si>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</si>
  <si>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</si>
  <si>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</si>
  <si>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</si>
  <si>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</si>
  <si>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</si>
  <si>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</si>
  <si>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</si>
  <si>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</si>
  <si>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</si>
  <si>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</si>
  <si>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</si>
  <si>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</si>
  <si>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</si>
  <si>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</si>
  <si>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</si>
  <si>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</si>
  <si>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</si>
  <si>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</si>
  <si>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</si>
  <si>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</si>
  <si>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</si>
  <si>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</si>
  <si>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</si>
  <si>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</si>
  <si>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</si>
  <si>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</si>
  <si>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</si>
  <si>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</si>
  <si>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</si>
  <si>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</si>
  <si>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</si>
  <si>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</si>
  <si>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</si>
  <si>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</si>
  <si>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</si>
  <si>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</si>
  <si>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</si>
  <si>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</si>
  <si>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</si>
  <si>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</si>
  <si>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</si>
  <si>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</si>
  <si>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</si>
  <si>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</si>
  <si>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</si>
  <si>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</si>
  <si>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</si>
  <si>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</si>
  <si>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</si>
  <si>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</si>
  <si>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</si>
  <si>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</si>
  <si>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</si>
  <si>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</si>
  <si>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</si>
  <si>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</si>
  <si>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</si>
  <si>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</si>
  <si>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</si>
  <si>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</si>
  <si>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</si>
  <si>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</si>
  <si>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</si>
  <si>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</si>
  <si>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</si>
  <si>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</si>
  <si>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</si>
  <si>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</si>
  <si>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</si>
  <si>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</si>
  <si>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</si>
  <si>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</si>
  <si>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</si>
  <si>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</si>
  <si>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</si>
  <si>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</si>
  <si>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</si>
  <si>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</si>
  <si>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</si>
  <si>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</si>
  <si>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</si>
  <si>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</si>
  <si>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</si>
  <si>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</si>
  <si>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</si>
  <si>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</si>
  <si>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</si>
  <si>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</si>
  <si>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</si>
  <si>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</si>
  <si>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</si>
  <si>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</si>
  <si>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</si>
  <si>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</si>
  <si>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</si>
  <si>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</si>
  <si>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</si>
  <si>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</si>
  <si>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</si>
  <si>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</si>
  <si>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</si>
  <si>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</si>
  <si>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</si>
  <si>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</si>
  <si>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</si>
  <si>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</si>
  <si>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</si>
  <si>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</si>
  <si>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</si>
  <si>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</si>
  <si>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</si>
  <si>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</si>
  <si>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</si>
  <si>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</si>
  <si>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</si>
  <si>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</si>
  <si>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</si>
  <si>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</si>
  <si>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</si>
  <si>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</si>
  <si>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</si>
  <si>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</si>
  <si>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</si>
  <si>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</si>
  <si>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</si>
  <si>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</si>
  <si>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</si>
  <si>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</si>
  <si>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</si>
  <si>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</si>
  <si>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</si>
  <si>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</si>
  <si>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</si>
  <si>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</si>
  <si>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</si>
  <si>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</si>
  <si>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</si>
  <si>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</si>
  <si>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</si>
  <si>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</si>
  <si>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</si>
  <si>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</si>
  <si>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</si>
  <si>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</si>
  <si>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</si>
  <si>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</si>
  <si>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</si>
  <si>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</si>
  <si>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</si>
  <si>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</si>
  <si>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</si>
  <si>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</si>
  <si>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</si>
  <si>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</si>
  <si>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</si>
  <si>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</si>
  <si>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</si>
  <si>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</si>
  <si>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</si>
  <si>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</si>
  <si>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</si>
  <si>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</si>
  <si>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</si>
  <si>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</si>
  <si>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</si>
  <si>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</si>
  <si>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</si>
  <si>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</si>
  <si>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</si>
  <si>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</si>
  <si>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</si>
  <si>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</si>
  <si>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</si>
  <si>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</si>
  <si>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</si>
  <si>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</si>
  <si>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</si>
  <si>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</si>
  <si>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</si>
  <si>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</si>
  <si>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</si>
  <si>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</si>
  <si>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</si>
  <si>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</si>
  <si>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</si>
  <si>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</si>
  <si>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</si>
  <si>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</si>
  <si>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</si>
  <si>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</si>
  <si>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</si>
  <si>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</si>
  <si>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</si>
  <si>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</si>
  <si>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</si>
  <si>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</si>
  <si>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</si>
  <si>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</si>
  <si>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</si>
  <si>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</si>
  <si>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</si>
  <si>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</si>
  <si>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</si>
  <si>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</si>
  <si>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</si>
  <si>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</si>
  <si>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</si>
  <si>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</si>
  <si>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</si>
  <si>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</si>
  <si>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</si>
  <si>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</si>
  <si>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</si>
  <si>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</si>
  <si>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</si>
  <si>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</si>
  <si>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</si>
  <si>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</si>
  <si>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</si>
  <si>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</si>
  <si>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</si>
  <si>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</si>
  <si>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</si>
  <si>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</si>
  <si>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</si>
  <si>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</si>
  <si>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</si>
  <si>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</si>
  <si>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</si>
  <si>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</si>
  <si>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</si>
  <si>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</si>
  <si>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</si>
  <si>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</si>
  <si>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</si>
  <si>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</si>
  <si>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</si>
  <si>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</si>
  <si>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</si>
  <si>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</si>
  <si>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</si>
  <si>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</si>
  <si>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</si>
  <si>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</si>
  <si>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</si>
  <si>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</si>
  <si>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</si>
  <si>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</si>
  <si>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</si>
  <si>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</si>
  <si>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</si>
  <si>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</si>
  <si>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</si>
  <si>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</si>
  <si>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</si>
  <si>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</si>
  <si>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</si>
  <si>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</si>
  <si>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</si>
  <si>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</si>
  <si>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</si>
  <si>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</si>
  <si>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</si>
  <si>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</si>
  <si>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</si>
  <si>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</si>
  <si>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</si>
  <si>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</si>
  <si>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</si>
  <si>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</si>
  <si>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</si>
  <si>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</si>
  <si>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</si>
  <si>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</si>
  <si>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</si>
  <si>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</si>
  <si>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</si>
  <si>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</si>
  <si>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</si>
  <si>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</si>
  <si>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</si>
  <si>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</si>
  <si>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</si>
  <si>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</si>
  <si>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</si>
  <si>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</si>
  <si>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</si>
  <si>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</si>
  <si>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</si>
  <si>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</si>
  <si>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</si>
  <si>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</si>
  <si>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</si>
  <si>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</si>
  <si>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</si>
  <si>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</si>
  <si>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</si>
  <si>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</si>
  <si>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</si>
  <si>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</si>
  <si>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</si>
  <si>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</si>
  <si>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</si>
  <si>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</si>
  <si>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</si>
  <si>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</si>
  <si>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</si>
  <si>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</si>
  <si>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</si>
  <si>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</si>
  <si>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</si>
  <si>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</si>
  <si>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</si>
  <si>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</si>
  <si>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</si>
  <si>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</si>
  <si>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</si>
  <si>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</si>
  <si>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</si>
  <si>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</si>
  <si>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</si>
  <si>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</si>
  <si>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</si>
  <si>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</si>
  <si>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</si>
  <si>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</si>
  <si>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</si>
  <si>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</si>
  <si>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</si>
  <si>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</si>
  <si>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</si>
  <si>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</si>
  <si>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</si>
  <si>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</si>
  <si>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</si>
  <si>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</si>
  <si>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</si>
  <si>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</si>
  <si>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</si>
  <si>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</si>
  <si>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</si>
  <si>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</si>
  <si>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</si>
  <si>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</si>
  <si>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</si>
  <si>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</si>
  <si>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</si>
  <si>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</si>
  <si>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</si>
  <si>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</si>
  <si>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</si>
  <si>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</si>
  <si>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</si>
  <si>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</si>
  <si>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</si>
  <si>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</si>
  <si>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</si>
  <si>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</si>
  <si>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</si>
  <si>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</si>
  <si>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</si>
  <si>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</si>
  <si>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</si>
  <si>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</si>
  <si>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</si>
  <si>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</si>
  <si>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</si>
  <si>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</si>
  <si>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</si>
  <si>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</si>
  <si>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</si>
  <si>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</si>
  <si>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</si>
  <si>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</si>
  <si>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</si>
  <si>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</si>
  <si>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</si>
  <si>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</si>
  <si>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</si>
  <si>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</si>
  <si>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</si>
  <si>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</si>
  <si>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</si>
  <si>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</si>
  <si>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</si>
  <si>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</si>
  <si>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</si>
  <si>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</si>
  <si>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</si>
  <si>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</si>
  <si>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</si>
  <si>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</si>
  <si>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</si>
  <si>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</si>
  <si>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</si>
  <si>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</si>
  <si>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</si>
  <si>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</si>
  <si>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</si>
  <si>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</si>
  <si>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</si>
  <si>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</si>
  <si>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</si>
  <si>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</si>
  <si>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</si>
  <si>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</si>
  <si>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</si>
  <si>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</si>
  <si>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</si>
  <si>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</si>
  <si>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</si>
  <si>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</si>
  <si>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</si>
  <si>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</si>
  <si>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</si>
  <si>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</si>
  <si>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</si>
  <si>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</si>
  <si>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</si>
  <si>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</si>
  <si>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</si>
  <si>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</si>
  <si>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</si>
  <si>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</si>
  <si>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</si>
  <si>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</si>
  <si>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</si>
  <si>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</si>
  <si>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</si>
  <si>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</si>
  <si>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</si>
  <si>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</si>
  <si>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</si>
  <si>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</si>
  <si>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</si>
  <si>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</si>
  <si>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</si>
  <si>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</si>
  <si>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</si>
  <si>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</si>
  <si>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</si>
  <si>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</si>
  <si>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</si>
  <si>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</si>
  <si>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</si>
  <si>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</si>
  <si>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</si>
  <si>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</si>
  <si>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</si>
  <si>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</si>
  <si>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</si>
  <si>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</si>
  <si>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</si>
  <si>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</si>
  <si>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</si>
  <si>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</si>
  <si>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</si>
  <si>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</si>
  <si>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</si>
  <si>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</si>
  <si>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</si>
  <si>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</si>
  <si>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</si>
  <si>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</si>
  <si>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</si>
  <si>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</si>
  <si>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</si>
  <si>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</si>
  <si>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</si>
  <si>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</si>
  <si>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</si>
  <si>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</si>
  <si>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</si>
  <si>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</si>
  <si>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</si>
  <si>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</si>
  <si>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</si>
  <si>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</si>
  <si>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</si>
  <si>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</si>
  <si>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</si>
  <si>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</si>
  <si>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</si>
  <si>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</si>
  <si>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</si>
  <si>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</si>
  <si>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</si>
  <si>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</si>
  <si>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</si>
  <si>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</si>
  <si>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</si>
  <si>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</si>
  <si>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</si>
  <si>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</si>
  <si>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</si>
  <si>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</si>
  <si>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</si>
  <si>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</si>
  <si>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</si>
  <si>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</si>
  <si>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</si>
  <si>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</si>
  <si>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</si>
  <si>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</si>
  <si>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</si>
  <si>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</si>
  <si>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</si>
  <si>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</si>
  <si>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</si>
  <si>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</si>
  <si>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</si>
  <si>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</si>
  <si>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</si>
  <si>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</si>
  <si>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</si>
  <si>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</si>
  <si>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</si>
  <si>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</si>
  <si>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</si>
  <si>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</si>
  <si>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</si>
  <si>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</si>
  <si>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</si>
  <si>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</si>
  <si>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</si>
  <si>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</si>
  <si>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</si>
  <si>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</si>
  <si>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</si>
  <si>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</si>
  <si>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</si>
  <si>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</si>
  <si>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</si>
  <si>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</si>
  <si>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</si>
  <si>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</si>
  <si>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</si>
  <si>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</si>
  <si>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</si>
  <si>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</si>
  <si>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</si>
  <si>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</si>
  <si>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</si>
  <si>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</si>
  <si>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</si>
  <si>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</si>
  <si>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</si>
  <si>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</si>
  <si>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</si>
  <si>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</si>
  <si>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</si>
  <si>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</si>
  <si>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</si>
  <si>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</si>
  <si>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</si>
  <si>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</si>
  <si>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</si>
  <si>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</si>
  <si>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</si>
  <si>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</si>
  <si>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</si>
  <si>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</si>
  <si>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</si>
  <si>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</si>
  <si>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</si>
  <si>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</si>
  <si>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</si>
  <si>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</si>
  <si>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</si>
  <si>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</si>
  <si>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</si>
  <si>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</si>
  <si>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</si>
  <si>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</si>
  <si>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</si>
  <si>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</si>
  <si>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</si>
  <si>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</si>
  <si>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</si>
  <si>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</si>
  <si>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</si>
  <si>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</si>
  <si>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</si>
  <si>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</si>
  <si>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</si>
  <si>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</si>
  <si>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</si>
  <si>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</si>
  <si>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</si>
  <si>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</si>
  <si>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</si>
  <si>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</si>
  <si>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</si>
  <si>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</si>
  <si>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</si>
  <si>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</si>
  <si>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</si>
  <si>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</si>
  <si>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</si>
  <si>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</si>
  <si>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</si>
  <si>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</si>
  <si>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</si>
  <si>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</si>
  <si>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</si>
  <si>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</si>
  <si>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</si>
  <si>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</si>
  <si>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</si>
  <si>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</si>
  <si>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</si>
  <si>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</si>
  <si>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</si>
  <si>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</si>
  <si>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</si>
  <si>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</si>
  <si>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</si>
  <si>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</si>
  <si>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</si>
  <si>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</si>
  <si>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</si>
  <si>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</si>
  <si>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</si>
  <si>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</si>
  <si>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</si>
  <si>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</si>
  <si>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</si>
  <si>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</si>
  <si>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</si>
  <si>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</si>
  <si>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</si>
  <si>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</si>
  <si>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</si>
  <si>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</si>
  <si>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</si>
  <si>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</si>
  <si>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</si>
  <si>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</si>
  <si>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</si>
  <si>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</si>
  <si>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</si>
  <si>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</si>
  <si>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</si>
  <si>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</si>
  <si>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</si>
  <si>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</si>
  <si>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</si>
  <si>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</si>
  <si>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</si>
  <si>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</si>
  <si>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</si>
  <si>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</si>
  <si>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</si>
  <si>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</si>
  <si>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</si>
  <si>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</si>
  <si>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</si>
  <si>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</si>
  <si>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</si>
  <si>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</si>
  <si>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</si>
  <si>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</si>
  <si>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</si>
  <si>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</si>
  <si>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</si>
  <si>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</si>
  <si>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</si>
  <si>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</si>
  <si>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</si>
  <si>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</si>
  <si>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</si>
  <si>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</si>
  <si>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</si>
  <si>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</si>
  <si>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</si>
  <si>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</si>
  <si>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</si>
  <si>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</si>
  <si>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</si>
  <si>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</si>
  <si>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</si>
  <si>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</si>
  <si>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</si>
  <si>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</si>
  <si>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</si>
  <si>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</si>
  <si>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</si>
  <si>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</si>
  <si>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</si>
  <si>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</si>
  <si>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</si>
  <si>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</si>
  <si>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</si>
  <si>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</si>
  <si>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</si>
  <si>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</si>
  <si>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</si>
  <si>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</si>
  <si>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</si>
  <si>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</si>
  <si>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</si>
  <si>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</si>
  <si>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</si>
  <si>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</si>
  <si>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</si>
  <si>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</si>
  <si>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</si>
  <si>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</si>
  <si>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</si>
  <si>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</si>
  <si>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</si>
  <si>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</si>
  <si>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</si>
  <si>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</si>
  <si>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</si>
  <si>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</si>
  <si>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</si>
  <si>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</si>
  <si>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</si>
  <si>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</si>
  <si>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</si>
  <si>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</si>
  <si>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</si>
  <si>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</si>
  <si>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</si>
  <si>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</si>
  <si>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</si>
  <si>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</si>
  <si>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</si>
  <si>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</si>
  <si>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</si>
  <si>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</si>
  <si>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</si>
  <si>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</si>
  <si>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</si>
  <si>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</si>
  <si>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</si>
  <si>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</si>
  <si>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</si>
  <si>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</si>
  <si>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</si>
  <si>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</si>
  <si>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</si>
  <si>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</si>
  <si>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</si>
  <si>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</si>
  <si>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</si>
  <si>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</si>
  <si>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</si>
  <si>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</si>
  <si>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</si>
  <si>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</si>
  <si>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</si>
  <si>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</si>
  <si>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</si>
  <si>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</si>
  <si>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</si>
  <si>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</si>
  <si>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</si>
  <si>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</si>
  <si>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</si>
  <si>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</si>
  <si>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</si>
  <si>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</si>
  <si>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</si>
  <si>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</si>
  <si>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</si>
  <si>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</si>
  <si>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</si>
  <si>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</si>
  <si>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</si>
  <si>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</si>
  <si>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</si>
  <si>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</si>
  <si>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</si>
  <si>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</si>
  <si>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</si>
  <si>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</si>
  <si>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</si>
  <si>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</si>
  <si>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</si>
  <si>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</si>
  <si>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</si>
  <si>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</si>
  <si>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</si>
  <si>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</si>
  <si>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</si>
  <si>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</si>
  <si>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</si>
  <si>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</si>
  <si>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</si>
  <si>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</si>
  <si>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</si>
  <si>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</si>
  <si>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</si>
  <si>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</si>
  <si>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</si>
  <si>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</si>
  <si>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</si>
  <si>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</si>
  <si>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</si>
  <si>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</si>
  <si>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</si>
  <si>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</si>
  <si>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</si>
  <si>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</si>
  <si>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</si>
  <si>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</si>
  <si>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</si>
  <si>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</si>
  <si>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</si>
  <si>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</si>
  <si>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</si>
  <si>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</si>
  <si>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</si>
  <si>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</si>
  <si>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</si>
  <si>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</si>
  <si>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</si>
  <si>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</si>
  <si>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</si>
  <si>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</si>
  <si>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</si>
  <si>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</si>
  <si>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</si>
  <si>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</si>
  <si>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</si>
  <si>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</si>
  <si>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</si>
  <si>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</si>
  <si>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</si>
  <si>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</si>
  <si>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</si>
  <si>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</si>
  <si>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</si>
  <si>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</si>
  <si>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</si>
  <si>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</si>
  <si>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</si>
  <si>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</si>
  <si>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</si>
  <si>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</si>
  <si>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</si>
  <si>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</si>
  <si>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</si>
  <si>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</si>
  <si>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</si>
  <si>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</si>
  <si>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</si>
  <si>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</si>
  <si>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</si>
  <si>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</si>
  <si>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</si>
  <si>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</si>
  <si>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</si>
  <si>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</si>
  <si>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</si>
  <si>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</si>
  <si>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</si>
  <si>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</si>
  <si>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</si>
  <si>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</si>
  <si>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</si>
  <si>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</si>
  <si>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</si>
  <si>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</si>
  <si>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</si>
  <si>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</si>
  <si>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</si>
  <si>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</si>
  <si>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</si>
  <si>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</si>
  <si>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</si>
  <si>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</si>
  <si>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</si>
  <si>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</si>
  <si>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</si>
  <si>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</si>
  <si>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</si>
  <si>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</si>
  <si>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</si>
  <si>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</si>
  <si>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</si>
  <si>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</si>
  <si>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</si>
  <si>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</si>
  <si>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</si>
  <si>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</si>
  <si>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</si>
  <si>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</si>
  <si>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</si>
  <si>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</si>
  <si>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</si>
  <si>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</si>
  <si>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</si>
  <si>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</si>
  <si>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</si>
  <si>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</si>
  <si>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</si>
  <si>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</si>
  <si>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</si>
  <si>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</si>
  <si>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</si>
  <si>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</si>
  <si>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</si>
  <si>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</si>
  <si>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</si>
  <si>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</si>
  <si>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</si>
  <si>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</si>
  <si>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</si>
  <si>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</si>
  <si>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</si>
  <si>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</si>
  <si>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</si>
  <si>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</si>
  <si>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</si>
  <si>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</si>
  <si>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</si>
  <si>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</si>
  <si>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</si>
  <si>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</si>
  <si>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</si>
  <si>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</si>
  <si>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</si>
  <si>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</si>
  <si>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</si>
  <si>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</si>
  <si>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</si>
  <si>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</si>
  <si>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</si>
  <si>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</si>
  <si>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</si>
  <si>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</si>
  <si>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</si>
  <si>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</si>
  <si>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</si>
  <si>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</si>
  <si>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</si>
  <si>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</si>
  <si>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</si>
  <si>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</si>
  <si>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</si>
  <si>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</si>
  <si>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</si>
  <si>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</si>
  <si>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</si>
  <si>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</si>
  <si>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</si>
  <si>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</si>
  <si>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</si>
  <si>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</si>
  <si>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</si>
  <si>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</si>
  <si>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</si>
  <si>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</si>
  <si>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</si>
  <si>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</si>
  <si>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</si>
  <si>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</si>
  <si>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</si>
  <si>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</si>
  <si>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</si>
  <si>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</si>
  <si>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</si>
  <si>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</si>
  <si>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</si>
  <si>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</si>
  <si>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</si>
  <si>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</si>
  <si>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</si>
  <si>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</si>
  <si>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</si>
  <si>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</si>
  <si>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</si>
  <si>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</si>
  <si>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</si>
  <si>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</si>
  <si>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</si>
  <si>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</si>
  <si>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</si>
  <si>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</si>
  <si>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</si>
  <si>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</si>
  <si>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</si>
  <si>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</si>
  <si>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</si>
  <si>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</si>
  <si>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</si>
  <si>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</si>
  <si>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</si>
  <si>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</si>
  <si>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</si>
  <si>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</si>
  <si>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</si>
  <si>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</si>
  <si>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</si>
  <si>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</si>
  <si>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</si>
  <si>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</si>
  <si>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</si>
  <si>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</si>
  <si>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</si>
  <si>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</si>
  <si>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</si>
  <si>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</si>
  <si>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</si>
  <si>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</si>
  <si>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</si>
  <si>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</si>
  <si>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</si>
  <si>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</si>
  <si>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</si>
  <si>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</si>
  <si>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</si>
  <si>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</si>
  <si>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</si>
  <si>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</si>
  <si>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</si>
  <si>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</si>
  <si>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</si>
  <si>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</si>
  <si>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</si>
  <si>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</si>
  <si>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</si>
  <si>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</si>
  <si>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</si>
  <si>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</si>
  <si>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</si>
  <si>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</si>
  <si>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</si>
  <si>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</si>
  <si>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</si>
  <si>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</si>
  <si>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</si>
  <si>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</si>
  <si>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</si>
  <si>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</si>
  <si>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</si>
  <si>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</si>
  <si>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</si>
  <si>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</si>
  <si>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</si>
  <si>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</si>
  <si>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</si>
  <si>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</si>
  <si>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</si>
  <si>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</si>
  <si>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</si>
  <si>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</si>
  <si>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</si>
  <si>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</si>
  <si>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</si>
  <si>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</si>
  <si>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</si>
  <si>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</si>
  <si>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</si>
  <si>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</si>
  <si>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</si>
  <si>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</si>
  <si>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</si>
  <si>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</si>
  <si>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</si>
  <si>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</si>
  <si>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</si>
  <si>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</si>
  <si>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</si>
  <si>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</si>
  <si>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</si>
  <si>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</si>
  <si>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</si>
  <si>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</si>
  <si>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</si>
  <si>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</si>
  <si>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</si>
  <si>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</si>
  <si>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</si>
  <si>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</si>
  <si>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</si>
  <si>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</si>
  <si>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</si>
  <si>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</si>
  <si>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</si>
  <si>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</si>
  <si>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</si>
  <si>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</si>
  <si>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</si>
  <si>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</si>
  <si>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</si>
  <si>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</si>
  <si>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</si>
  <si>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</si>
  <si>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</si>
  <si>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</si>
  <si>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</si>
  <si>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</si>
  <si>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</si>
  <si>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</si>
  <si>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</si>
  <si>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</si>
  <si>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</si>
  <si>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</si>
  <si>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</si>
  <si>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</si>
  <si>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</si>
  <si>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</si>
  <si>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</si>
  <si>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</si>
  <si>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</si>
  <si>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</si>
  <si>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</si>
  <si>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</si>
  <si>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</si>
  <si>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</si>
  <si>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</si>
  <si>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</si>
  <si>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</si>
  <si>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</si>
  <si>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</si>
  <si>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</si>
  <si>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</si>
  <si>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</si>
  <si>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</si>
  <si>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</si>
  <si>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</si>
  <si>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</si>
  <si>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</si>
  <si>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</si>
  <si>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</si>
  <si>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</si>
  <si>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</si>
  <si>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</si>
  <si>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</si>
  <si>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</si>
  <si>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</si>
  <si>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</si>
  <si>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</si>
  <si>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</si>
  <si>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</si>
  <si>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</si>
  <si>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</si>
  <si>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</si>
  <si>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</si>
  <si>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</si>
  <si>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</si>
  <si>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</si>
  <si>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</si>
  <si>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</si>
  <si>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</si>
  <si>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</si>
  <si>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</si>
  <si>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</si>
  <si>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</si>
  <si>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</si>
  <si>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</si>
  <si>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</si>
  <si>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</si>
  <si>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</si>
  <si>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</si>
  <si>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</si>
  <si>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</si>
  <si>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</si>
  <si>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</si>
  <si>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</si>
  <si>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</si>
  <si>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</si>
  <si>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</si>
  <si>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</si>
  <si>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</si>
  <si>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</si>
  <si>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</si>
  <si>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</si>
  <si>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</si>
  <si>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</si>
  <si>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</si>
  <si>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</si>
  <si>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</si>
  <si>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</si>
  <si>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</si>
  <si>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</si>
  <si>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</si>
  <si>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</si>
  <si>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</si>
  <si>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</si>
  <si>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</si>
  <si>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</si>
  <si>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</si>
  <si>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</si>
  <si>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</si>
  <si>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</si>
  <si>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</si>
  <si>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</si>
  <si>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</si>
  <si>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</si>
  <si>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</si>
  <si>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</si>
  <si>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</si>
  <si>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</si>
  <si>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</si>
  <si>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</si>
  <si>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</si>
  <si>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</si>
  <si>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</si>
  <si>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</si>
  <si>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</si>
  <si>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</si>
  <si>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</si>
  <si>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</si>
  <si>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</si>
  <si>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</si>
  <si>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</si>
  <si>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</si>
  <si>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</si>
  <si>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</si>
  <si>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</si>
  <si>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</si>
  <si>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</si>
  <si>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</si>
  <si>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</si>
  <si>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</si>
  <si>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</si>
  <si>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</si>
  <si>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</si>
  <si>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</si>
  <si>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</si>
  <si>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</si>
  <si>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</si>
  <si>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</si>
  <si>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</si>
  <si>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</si>
  <si>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</si>
  <si>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</si>
  <si>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</si>
  <si>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</si>
  <si>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</si>
  <si>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</si>
  <si>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</si>
  <si>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</si>
  <si>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</si>
  <si>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</si>
  <si>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</si>
  <si>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</si>
  <si>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</si>
  <si>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</si>
  <si>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</si>
  <si>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</si>
  <si>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</si>
  <si>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</si>
  <si>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</si>
  <si>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</si>
  <si>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</si>
  <si>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</si>
  <si>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</si>
  <si>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</si>
  <si>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</si>
  <si>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</si>
  <si>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</si>
  <si>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</si>
  <si>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</si>
  <si>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</si>
  <si>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</si>
  <si>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</si>
  <si>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</si>
  <si>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</si>
  <si>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</si>
  <si>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</si>
  <si>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</si>
  <si>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</si>
  <si>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</si>
  <si>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</si>
  <si>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</si>
  <si>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</si>
  <si>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</si>
  <si>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</si>
  <si>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</si>
  <si>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</si>
  <si>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</si>
  <si>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</si>
  <si>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</si>
  <si>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</si>
  <si>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</si>
  <si>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</si>
  <si>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</si>
  <si>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</si>
  <si>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</si>
  <si>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</si>
  <si>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</si>
  <si>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</si>
  <si>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</si>
  <si>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</si>
  <si>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</si>
  <si>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</si>
  <si>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</si>
  <si>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</si>
  <si>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</si>
  <si>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</si>
  <si>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</si>
  <si>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</si>
  <si>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</si>
  <si>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</si>
  <si>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</si>
  <si>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</si>
  <si>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</si>
  <si>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</si>
  <si>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</si>
  <si>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</si>
  <si>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</si>
  <si>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</si>
  <si>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</si>
  <si>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</si>
  <si>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</si>
  <si>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</si>
  <si>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</si>
  <si>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</si>
  <si>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</si>
  <si>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</si>
  <si>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</si>
  <si>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</si>
  <si>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</si>
  <si>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</si>
  <si>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</si>
  <si>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</si>
  <si>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</si>
  <si>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</si>
  <si>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</si>
  <si>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</si>
  <si>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</si>
  <si>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</si>
  <si>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</si>
  <si>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</si>
  <si>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</si>
  <si>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</si>
  <si>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</si>
  <si>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</si>
  <si>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</si>
  <si>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</si>
  <si>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</si>
  <si>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</si>
  <si>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</si>
  <si>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</si>
  <si>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</si>
  <si>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</si>
  <si>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</si>
  <si>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</si>
  <si>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</si>
  <si>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</si>
  <si>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</si>
  <si>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</si>
  <si>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</si>
  <si>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</si>
  <si>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</si>
  <si>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</si>
  <si>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</si>
  <si>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</si>
  <si>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</si>
  <si>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</si>
  <si>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</si>
  <si>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</si>
  <si>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</si>
  <si>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</si>
  <si>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</si>
  <si>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</si>
  <si>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</si>
  <si>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</si>
  <si>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</si>
  <si>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</si>
  <si>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</si>
  <si>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</si>
  <si>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</si>
  <si>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</si>
  <si>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</si>
  <si>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</si>
  <si>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</si>
  <si>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</si>
  <si>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</si>
  <si>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</si>
  <si>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</si>
  <si>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</si>
  <si>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</si>
  <si>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</si>
  <si>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</si>
  <si>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</si>
  <si>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</si>
  <si>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</si>
  <si>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</si>
  <si>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</si>
  <si>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</si>
  <si>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</si>
  <si>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</si>
  <si>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</si>
  <si>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</si>
  <si>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</si>
  <si>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</si>
  <si>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</si>
  <si>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</si>
  <si>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</si>
  <si>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</si>
  <si>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</si>
  <si>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</si>
  <si>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</si>
  <si>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</si>
  <si>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</si>
  <si>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</si>
  <si>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</si>
  <si>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</si>
  <si>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</si>
  <si>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</si>
  <si>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</si>
  <si>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</si>
  <si>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</si>
  <si>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</si>
  <si>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</si>
  <si>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</si>
  <si>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</si>
  <si>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</si>
  <si>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</si>
  <si>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</si>
  <si>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</si>
  <si>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</si>
  <si>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</si>
  <si>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</si>
  <si>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</si>
  <si>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</si>
  <si>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</si>
  <si>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</si>
  <si>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</si>
  <si>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</si>
  <si>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</si>
  <si>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</si>
  <si>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</si>
  <si>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</si>
  <si>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</si>
  <si>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</si>
  <si>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</si>
  <si>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</si>
  <si>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</si>
  <si>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</si>
  <si>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</si>
  <si>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</si>
  <si>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</si>
  <si>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</si>
  <si>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</si>
  <si>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</si>
  <si>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</si>
  <si>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</si>
  <si>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</si>
  <si>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</si>
  <si>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</si>
  <si>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</si>
  <si>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</si>
  <si>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</si>
  <si>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</si>
  <si>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</si>
  <si>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</si>
  <si>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</si>
  <si>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</si>
  <si>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</si>
  <si>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</si>
  <si>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</si>
  <si>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</si>
  <si>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</si>
  <si>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</si>
  <si>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</si>
  <si>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</si>
  <si>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</si>
  <si>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</si>
  <si>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</si>
  <si>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</si>
  <si>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</si>
  <si>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</si>
  <si>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</si>
  <si>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</si>
  <si>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</si>
  <si>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</si>
  <si>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</si>
  <si>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</si>
  <si>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</si>
  <si>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</si>
  <si>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</si>
  <si>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</si>
  <si>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</si>
  <si>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</si>
  <si>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</si>
  <si>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</si>
  <si>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</si>
  <si>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</si>
  <si>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</si>
  <si>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</si>
  <si>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</si>
  <si>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</si>
  <si>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</si>
  <si>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</si>
  <si>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</si>
  <si>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</si>
  <si>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</si>
  <si>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</si>
  <si>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</si>
  <si>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</si>
  <si>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</si>
  <si>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</si>
  <si>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</si>
  <si>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</si>
  <si>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</si>
  <si>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</si>
  <si>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</si>
  <si>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</si>
  <si>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</si>
  <si>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</si>
  <si>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</si>
  <si>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</si>
  <si>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</si>
  <si>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</si>
  <si>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</si>
  <si>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</si>
  <si>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</si>
  <si>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</si>
  <si>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</si>
  <si>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</si>
  <si>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</si>
  <si>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</si>
  <si>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</si>
  <si>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</si>
  <si>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</si>
  <si>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</si>
  <si>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</si>
  <si>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</si>
  <si>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</si>
  <si>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</si>
  <si>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</si>
  <si>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</si>
  <si>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</si>
  <si>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</si>
  <si>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</si>
  <si>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</si>
  <si>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</si>
  <si>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</si>
  <si>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</si>
  <si>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</si>
  <si>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</si>
  <si>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</si>
  <si>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</si>
  <si>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</si>
  <si>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</si>
  <si>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</si>
  <si>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</si>
  <si>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</si>
  <si>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</si>
  <si>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</si>
  <si>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</si>
  <si>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</si>
  <si>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</si>
  <si>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</si>
  <si>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</si>
  <si>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</si>
  <si>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</si>
  <si>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</si>
  <si>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</si>
  <si>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</si>
  <si>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</si>
  <si>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</si>
  <si>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</si>
  <si>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</si>
  <si>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</si>
  <si>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</si>
  <si>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</si>
  <si>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</si>
  <si>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</si>
  <si>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</si>
  <si>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</si>
  <si>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</si>
  <si>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</si>
  <si>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</si>
  <si>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</si>
  <si>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</si>
  <si>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</si>
  <si>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</si>
  <si>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</si>
  <si>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</si>
  <si>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</si>
  <si>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</si>
  <si>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</si>
  <si>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</si>
  <si>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</si>
  <si>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</si>
  <si>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</si>
  <si>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</si>
  <si>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</si>
  <si>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</si>
  <si>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</si>
  <si>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</si>
  <si>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</si>
  <si>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</si>
  <si>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</si>
  <si>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</si>
  <si>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</si>
  <si>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</si>
  <si>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</si>
  <si>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</si>
  <si>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</si>
  <si>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</si>
  <si>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</si>
  <si>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</si>
  <si>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</si>
  <si>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</si>
  <si>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</si>
  <si>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</si>
  <si>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</si>
  <si>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</si>
  <si>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</si>
  <si>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</si>
  <si>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</si>
  <si>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</si>
  <si>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</si>
  <si>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</si>
  <si>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</si>
  <si>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</si>
  <si>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</si>
  <si>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</si>
  <si>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</si>
  <si>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</si>
  <si>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</si>
  <si>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</si>
  <si>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</si>
  <si>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</si>
  <si>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</si>
  <si>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</si>
  <si>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</si>
  <si>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</si>
  <si>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</si>
  <si>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</si>
  <si>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</si>
  <si>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</si>
  <si>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</si>
  <si>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</si>
  <si>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</si>
  <si>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</si>
  <si>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</si>
  <si>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</si>
  <si>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</si>
  <si>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</si>
  <si>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</si>
  <si>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</si>
  <si>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</si>
  <si>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</si>
  <si>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</si>
  <si>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</si>
  <si>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</si>
  <si>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</si>
  <si>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</si>
  <si>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</si>
  <si>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</si>
  <si>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</si>
  <si>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</si>
  <si>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</si>
  <si>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</si>
  <si>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</si>
  <si>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</si>
  <si>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</si>
  <si>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</si>
  <si>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</si>
  <si>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</si>
  <si>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</si>
  <si>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</si>
  <si>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</si>
  <si>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</si>
  <si>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</si>
  <si>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</si>
  <si>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</si>
  <si>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</si>
  <si>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</si>
  <si>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</si>
  <si>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</si>
  <si>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</si>
  <si>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</si>
  <si>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</si>
  <si>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</si>
  <si>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</si>
  <si>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</si>
  <si>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</si>
  <si>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</si>
  <si>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</si>
  <si>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</si>
  <si>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</si>
  <si>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</si>
  <si>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</si>
  <si>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</si>
  <si>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</si>
  <si>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</si>
  <si>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</si>
  <si>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</si>
  <si>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</si>
  <si>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</si>
  <si>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</si>
  <si>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</si>
  <si>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</si>
  <si>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</si>
  <si>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</si>
  <si>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</si>
  <si>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</si>
  <si>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</si>
  <si>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</si>
  <si>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</si>
  <si>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</si>
  <si>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</si>
  <si>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</si>
  <si>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</si>
  <si>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</si>
  <si>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</si>
  <si>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</si>
  <si>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</si>
  <si>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</si>
  <si>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</si>
  <si>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</si>
  <si>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</si>
  <si>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</si>
  <si>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</si>
  <si>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</si>
  <si>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</si>
  <si>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</si>
  <si>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</si>
  <si>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</si>
  <si>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</si>
  <si>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</si>
  <si>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</si>
  <si>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</si>
  <si>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</si>
  <si>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</si>
  <si>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</si>
  <si>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</si>
  <si>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</si>
  <si>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</si>
  <si>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</si>
  <si>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</si>
  <si>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</si>
  <si>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</si>
  <si>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</si>
  <si>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</si>
  <si>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</si>
  <si>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</si>
  <si>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</si>
  <si>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</si>
  <si>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</si>
  <si>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</si>
  <si>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</si>
  <si>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</si>
  <si>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</si>
  <si>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</si>
  <si>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</si>
  <si>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</si>
  <si>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</si>
  <si>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</si>
  <si>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</si>
  <si>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</si>
  <si>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</si>
  <si>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</si>
  <si>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</si>
  <si>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</si>
  <si>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</si>
  <si>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</si>
  <si>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</si>
  <si>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</si>
  <si>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</si>
  <si>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</si>
  <si>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</si>
  <si>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</si>
  <si>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</si>
  <si>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</si>
  <si>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</si>
  <si>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</si>
  <si>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</si>
  <si>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</si>
  <si>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</si>
  <si>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</si>
  <si>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</si>
  <si>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</si>
  <si>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</si>
  <si>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</si>
  <si>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</si>
  <si>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</si>
  <si>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</si>
  <si>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</si>
  <si>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</si>
  <si>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</si>
  <si>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</si>
  <si>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</si>
  <si>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</si>
  <si>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</si>
  <si>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</si>
  <si>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</si>
  <si>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</si>
  <si>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</si>
  <si>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</si>
  <si>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</si>
  <si>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</si>
  <si>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</si>
  <si>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</si>
  <si>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</si>
  <si>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</si>
  <si>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</si>
  <si>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</si>
  <si>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</si>
  <si>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</si>
  <si>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</si>
  <si>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</si>
  <si>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</si>
  <si>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</si>
  <si>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</si>
  <si>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</si>
  <si>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</si>
  <si>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</si>
  <si>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</si>
  <si>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</si>
  <si>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</si>
  <si>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</si>
  <si>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</si>
  <si>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</si>
  <si>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</si>
  <si>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</si>
  <si>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</si>
  <si>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</si>
  <si>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</si>
  <si>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</si>
  <si>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</si>
  <si>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</si>
  <si>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</si>
  <si>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</si>
  <si>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</si>
  <si>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</si>
  <si>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</si>
  <si>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</si>
  <si>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</si>
  <si>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</si>
  <si>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</si>
  <si>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</si>
  <si>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</si>
  <si>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</si>
  <si>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</si>
  <si>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</si>
  <si>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</si>
  <si>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</si>
  <si>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</si>
  <si>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</si>
  <si>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</si>
  <si>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</si>
  <si>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</si>
  <si>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</si>
  <si>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</si>
  <si>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</si>
  <si>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</si>
  <si>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</si>
  <si>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</si>
  <si>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</si>
  <si>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</si>
  <si>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</si>
  <si>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</si>
  <si>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</si>
  <si>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</si>
  <si>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</si>
  <si>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</si>
  <si>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</si>
  <si>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</si>
  <si>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</si>
  <si>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</si>
  <si>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</si>
  <si>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</si>
  <si>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</si>
  <si>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</si>
  <si>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</si>
  <si>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</si>
  <si>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</si>
  <si>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</si>
  <si>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</si>
  <si>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</si>
  <si>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</si>
  <si>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</si>
  <si>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</si>
  <si>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</si>
  <si>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</si>
  <si>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</si>
  <si>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</si>
  <si>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</si>
  <si>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</si>
  <si>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</si>
  <si>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</si>
  <si>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</si>
  <si>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</si>
  <si>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</si>
  <si>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</si>
  <si>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</si>
  <si>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</si>
  <si>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</si>
  <si>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</si>
  <si>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</si>
  <si>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</si>
  <si>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</si>
  <si>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</si>
  <si>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</si>
  <si>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</si>
  <si>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</si>
  <si>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</si>
  <si>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</si>
  <si>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</si>
  <si>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</si>
  <si>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</si>
  <si>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</si>
  <si>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</si>
  <si>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</si>
  <si>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</si>
  <si>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</si>
  <si>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</si>
  <si>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</si>
  <si>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</si>
  <si>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</si>
  <si>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</si>
  <si>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</si>
  <si>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</si>
  <si>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</si>
  <si>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</si>
  <si>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</si>
  <si>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</si>
  <si>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</si>
  <si>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</si>
  <si>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</si>
  <si>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</si>
  <si>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</si>
  <si>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</si>
  <si>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</si>
  <si>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</si>
  <si>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</si>
  <si>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</si>
  <si>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</si>
  <si>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</si>
  <si>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</si>
  <si>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</si>
  <si>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</si>
  <si>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</si>
  <si>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</si>
  <si>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</si>
  <si>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</si>
  <si>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</si>
  <si>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</si>
  <si>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</si>
  <si>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</si>
  <si>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</si>
  <si>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</si>
  <si>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</si>
  <si>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</si>
  <si>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</si>
  <si>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</si>
  <si>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</si>
  <si>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</si>
  <si>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</si>
  <si>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</si>
  <si>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</si>
  <si>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</si>
  <si>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</si>
  <si>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</si>
  <si>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</si>
  <si>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</si>
  <si>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</si>
  <si>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</si>
  <si>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</si>
  <si>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</si>
  <si>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</si>
  <si>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</si>
  <si>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</si>
  <si>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</si>
  <si>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</si>
  <si>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</si>
  <si>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</si>
  <si>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</si>
  <si>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</si>
  <si>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</si>
  <si>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</si>
  <si>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</si>
  <si>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</si>
  <si>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</si>
  <si>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</si>
  <si>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</si>
  <si>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</si>
  <si>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</si>
  <si>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</si>
  <si>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</si>
  <si>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</si>
  <si>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</si>
  <si>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</si>
  <si>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</si>
  <si>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</si>
  <si>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</si>
  <si>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</si>
  <si>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</si>
  <si>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</si>
  <si>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</si>
  <si>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</si>
  <si>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</si>
  <si>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</si>
  <si>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</si>
  <si>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</si>
  <si>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</si>
  <si>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</si>
  <si>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</si>
  <si>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</si>
  <si>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</si>
  <si>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</si>
  <si>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</si>
  <si>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</si>
  <si>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</si>
  <si>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</si>
  <si>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</si>
  <si>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</si>
  <si>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</si>
  <si>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</si>
  <si>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</si>
  <si>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</si>
  <si>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</si>
  <si>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</si>
  <si>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Tecate Group</t>
  </si>
  <si>
    <t>08-091-2553</t>
  </si>
  <si>
    <t>DUNS 08-091-2553</t>
  </si>
  <si>
    <t>7520 Mission Valley Road, San Diego CA. 921087</t>
  </si>
  <si>
    <t>Jim Kroessler</t>
  </si>
  <si>
    <t>jimk@tecategroup.com</t>
  </si>
  <si>
    <t>619-398-9700</t>
  </si>
  <si>
    <t>DQA</t>
  </si>
  <si>
    <t>http://www.tecategroup.com/about/dec&amp;cert-files/TecateGroup-ConflictMineralsPolicy.pdf</t>
  </si>
  <si>
    <t>CFSI</t>
  </si>
  <si>
    <t>PT Timah (Persero) Tbk Kundur</t>
  </si>
  <si>
    <t/>
  </si>
  <si>
    <t>All Type CD Ceramic Capacitors</t>
  </si>
  <si>
    <t>All SMD Ceramic Capacitors</t>
  </si>
  <si>
    <t>All Electrolytic Capacitors</t>
  </si>
  <si>
    <t>All Film Capacitors</t>
  </si>
  <si>
    <t>All Conductive Polymer Capacitors</t>
  </si>
  <si>
    <t>All Ultracapacitor Cells</t>
  </si>
  <si>
    <t>PC5-5</t>
  </si>
  <si>
    <t>Type PBF</t>
  </si>
  <si>
    <t>Type PBLE</t>
  </si>
  <si>
    <t>Type PBL 5.4V</t>
  </si>
  <si>
    <t>Type PBLL (passive and active)</t>
  </si>
  <si>
    <t>Type PBLS</t>
  </si>
  <si>
    <t>Type PB (passive and active)</t>
  </si>
  <si>
    <t>All leaded ceramics (CMR &amp; CMA)</t>
  </si>
  <si>
    <t>All electronic assemblies</t>
  </si>
  <si>
    <t>All wire harnesses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</si>
</sst>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www.tecategroup.com/about/dec&amp;cert-files/TecateGroup-ConflictMineralsPolicy.pdf"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843</v>
      </c>
      <c r="C2" s="3"/>
      <c r="D2" s="175"/>
      <c r="E2" s="3"/>
      <c r="F2" s="3"/>
      <c r="G2" s="25"/>
    </row>
    <row r="3" spans="1:7">
      <c r="A3" s="305"/>
      <c r="B3" s="3" t="s">
        <v>835</v>
      </c>
      <c r="C3" s="5"/>
      <c r="D3" s="176"/>
      <c r="E3" s="3"/>
      <c r="F3" s="5"/>
      <c r="G3" s="25"/>
    </row>
    <row r="4" spans="1:7" ht="15.75">
      <c r="A4" s="305"/>
      <c r="B4" s="30" t="s">
        <v>845</v>
      </c>
      <c r="C4" s="6"/>
      <c r="D4" s="177"/>
      <c r="E4" s="3"/>
      <c r="F4" s="6"/>
      <c r="G4" s="25"/>
    </row>
    <row r="5" spans="1:7">
      <c r="A5" s="305"/>
      <c r="B5" s="29" t="s">
        <v>1036</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846</v>
      </c>
      <c r="C9" s="308"/>
      <c r="D9" s="308"/>
      <c r="E9" s="308"/>
      <c r="F9" s="308"/>
      <c r="G9" s="25"/>
    </row>
    <row r="10" spans="1:7" ht="27" customHeight="1">
      <c r="A10" s="305"/>
      <c r="B10" s="309" t="s">
        <v>438</v>
      </c>
      <c r="C10" s="309"/>
      <c r="D10" s="309"/>
      <c r="E10" s="309"/>
      <c r="F10" s="309"/>
      <c r="G10" s="25"/>
    </row>
    <row r="11" spans="1:7" ht="27" customHeight="1">
      <c r="A11" s="305"/>
      <c r="B11" s="310"/>
      <c r="C11" s="310"/>
      <c r="D11" s="310"/>
      <c r="E11" s="310"/>
      <c r="F11" s="310"/>
      <c r="G11" s="25"/>
    </row>
    <row r="12" spans="1:7">
      <c r="A12" s="305"/>
      <c r="B12" s="31" t="s">
        <v>844</v>
      </c>
      <c r="C12" s="32" t="s">
        <v>847</v>
      </c>
      <c r="D12" s="179" t="s">
        <v>848</v>
      </c>
      <c r="E12" s="32" t="s">
        <v>612</v>
      </c>
      <c r="F12" s="32" t="s">
        <v>613</v>
      </c>
      <c r="G12" s="25"/>
    </row>
    <row r="13" spans="1:7" ht="33.75">
      <c r="A13" s="305"/>
      <c r="B13" s="2">
        <v>1</v>
      </c>
      <c r="C13" s="27" t="s">
        <v>1084</v>
      </c>
      <c r="D13" s="28" t="s">
        <v>872</v>
      </c>
      <c r="E13" s="163" t="s">
        <v>849</v>
      </c>
      <c r="F13" s="163"/>
      <c r="G13" s="25"/>
    </row>
    <row r="14" spans="1:7" ht="33.75">
      <c r="A14" s="305"/>
      <c r="B14" s="2">
        <v>2</v>
      </c>
      <c r="C14" s="27" t="s">
        <v>1084</v>
      </c>
      <c r="D14" s="28" t="s">
        <v>1021</v>
      </c>
      <c r="E14" s="163" t="s">
        <v>530</v>
      </c>
      <c r="F14" s="163" t="s">
        <v>531</v>
      </c>
      <c r="G14" s="25"/>
    </row>
    <row r="15" spans="1:7" ht="89.1" customHeight="1">
      <c r="A15" s="305"/>
      <c r="B15" s="311">
        <v>2.0099999999999998</v>
      </c>
      <c r="C15" s="302" t="s">
        <v>1084</v>
      </c>
      <c r="D15" s="314" t="s">
        <v>2246</v>
      </c>
      <c r="E15" s="164" t="s">
        <v>614</v>
      </c>
      <c r="F15" s="164" t="s">
        <v>617</v>
      </c>
      <c r="G15" s="25"/>
    </row>
    <row r="16" spans="1:7" ht="99" customHeight="1">
      <c r="A16" s="305"/>
      <c r="B16" s="312"/>
      <c r="C16" s="303"/>
      <c r="D16" s="315"/>
      <c r="E16" s="165"/>
      <c r="F16" s="165" t="s">
        <v>615</v>
      </c>
      <c r="G16" s="25"/>
    </row>
    <row r="17" spans="1:7" ht="63" customHeight="1">
      <c r="A17" s="305"/>
      <c r="B17" s="313"/>
      <c r="C17" s="304"/>
      <c r="D17" s="316"/>
      <c r="E17" s="27"/>
      <c r="F17" s="27" t="s">
        <v>616</v>
      </c>
      <c r="G17" s="25"/>
    </row>
    <row r="18" spans="1:7" ht="117" customHeight="1">
      <c r="A18" s="305"/>
      <c r="B18" s="311">
        <v>2.02</v>
      </c>
      <c r="C18" s="302" t="s">
        <v>1084</v>
      </c>
      <c r="D18" s="314" t="s">
        <v>2247</v>
      </c>
      <c r="E18" s="164" t="s">
        <v>439</v>
      </c>
      <c r="F18" s="164" t="s">
        <v>525</v>
      </c>
      <c r="G18" s="25"/>
    </row>
    <row r="19" spans="1:7" ht="71.099999999999994" customHeight="1">
      <c r="A19" s="305"/>
      <c r="B19" s="312"/>
      <c r="C19" s="303"/>
      <c r="D19" s="315"/>
      <c r="E19" s="165" t="s">
        <v>529</v>
      </c>
      <c r="F19" s="165" t="s">
        <v>440</v>
      </c>
      <c r="G19" s="25"/>
    </row>
    <row r="20" spans="1:7" ht="90.75" customHeight="1">
      <c r="A20" s="305"/>
      <c r="B20" s="312"/>
      <c r="C20" s="303"/>
      <c r="D20" s="315"/>
      <c r="E20" s="165"/>
      <c r="F20" s="165" t="s">
        <v>619</v>
      </c>
      <c r="G20" s="25"/>
    </row>
    <row r="21" spans="1:7" ht="74.25" customHeight="1">
      <c r="A21" s="305"/>
      <c r="B21" s="313"/>
      <c r="C21" s="304"/>
      <c r="D21" s="316"/>
      <c r="E21" s="27"/>
      <c r="F21" s="27" t="s">
        <v>618</v>
      </c>
      <c r="G21" s="25"/>
    </row>
    <row r="22" spans="1:7" ht="90" customHeight="1">
      <c r="A22" s="305"/>
      <c r="B22" s="296">
        <v>2.0299999999999998</v>
      </c>
      <c r="C22" s="296" t="s">
        <v>818</v>
      </c>
      <c r="D22" s="299" t="s">
        <v>2248</v>
      </c>
      <c r="E22" s="302" t="s">
        <v>437</v>
      </c>
      <c r="F22" s="164" t="s">
        <v>460</v>
      </c>
      <c r="G22" s="25"/>
    </row>
    <row r="23" spans="1:7" ht="109.5" customHeight="1">
      <c r="A23" s="305"/>
      <c r="B23" s="297"/>
      <c r="C23" s="297"/>
      <c r="D23" s="300"/>
      <c r="E23" s="303"/>
      <c r="F23" s="165" t="s">
        <v>819</v>
      </c>
      <c r="G23" s="25"/>
    </row>
    <row r="24" spans="1:7" ht="74.25" customHeight="1">
      <c r="A24" s="305"/>
      <c r="B24" s="298"/>
      <c r="C24" s="298"/>
      <c r="D24" s="301"/>
      <c r="E24" s="304"/>
      <c r="F24" s="27" t="s">
        <v>436</v>
      </c>
      <c r="G24" s="25"/>
    </row>
    <row r="25" spans="1:7" ht="72" customHeight="1">
      <c r="A25" s="305"/>
      <c r="B25" s="2" t="s">
        <v>458</v>
      </c>
      <c r="C25" s="27" t="s">
        <v>459</v>
      </c>
      <c r="D25" s="28" t="s">
        <v>2249</v>
      </c>
      <c r="E25" s="27" t="s">
        <v>2244</v>
      </c>
      <c r="F25" s="27" t="s">
        <v>461</v>
      </c>
      <c r="G25" s="25"/>
    </row>
    <row r="26" spans="1:7" ht="98.1" customHeight="1">
      <c r="A26" s="305"/>
      <c r="B26" s="293">
        <v>3</v>
      </c>
      <c r="C26" s="311" t="s">
        <v>70</v>
      </c>
      <c r="D26" s="314" t="s">
        <v>2250</v>
      </c>
      <c r="E26" s="302" t="s">
        <v>0</v>
      </c>
      <c r="F26" s="164" t="s">
        <v>64</v>
      </c>
      <c r="G26" s="25"/>
    </row>
    <row r="27" spans="1:7" ht="90" customHeight="1">
      <c r="A27" s="305"/>
      <c r="B27" s="294"/>
      <c r="C27" s="312"/>
      <c r="D27" s="315"/>
      <c r="E27" s="303"/>
      <c r="F27" s="165" t="s">
        <v>59</v>
      </c>
      <c r="G27" s="25"/>
    </row>
    <row r="28" spans="1:7" ht="19.350000000000001" customHeight="1">
      <c r="A28" s="305"/>
      <c r="B28" s="294"/>
      <c r="C28" s="312"/>
      <c r="D28" s="315"/>
      <c r="E28" s="303"/>
      <c r="F28" s="165" t="s">
        <v>60</v>
      </c>
      <c r="G28" s="25"/>
    </row>
    <row r="29" spans="1:7" ht="74.650000000000006" customHeight="1">
      <c r="A29" s="305"/>
      <c r="B29" s="294"/>
      <c r="C29" s="312"/>
      <c r="D29" s="315"/>
      <c r="E29" s="303"/>
      <c r="F29" s="165" t="s">
        <v>61</v>
      </c>
      <c r="G29" s="25"/>
    </row>
    <row r="30" spans="1:7" ht="62.65" customHeight="1">
      <c r="A30" s="305"/>
      <c r="B30" s="294"/>
      <c r="C30" s="312"/>
      <c r="D30" s="315"/>
      <c r="E30" s="303"/>
      <c r="F30" s="165" t="s">
        <v>62</v>
      </c>
      <c r="G30" s="25"/>
    </row>
    <row r="31" spans="1:7" ht="81" customHeight="1">
      <c r="A31" s="305"/>
      <c r="B31" s="294"/>
      <c r="C31" s="312"/>
      <c r="D31" s="315"/>
      <c r="E31" s="303"/>
      <c r="F31" s="165" t="s">
        <v>63</v>
      </c>
      <c r="G31" s="25"/>
    </row>
    <row r="32" spans="1:7" ht="48.75" customHeight="1">
      <c r="A32" s="305"/>
      <c r="B32" s="294"/>
      <c r="C32" s="312"/>
      <c r="D32" s="315"/>
      <c r="E32" s="303"/>
      <c r="F32" s="165" t="s">
        <v>66</v>
      </c>
      <c r="G32" s="25"/>
    </row>
    <row r="33" spans="1:7" ht="98.65" customHeight="1">
      <c r="A33" s="305"/>
      <c r="B33" s="294"/>
      <c r="C33" s="312"/>
      <c r="D33" s="315"/>
      <c r="E33" s="303"/>
      <c r="F33" s="165" t="s">
        <v>65</v>
      </c>
      <c r="G33" s="25"/>
    </row>
    <row r="34" spans="1:7" ht="89.1" customHeight="1">
      <c r="A34" s="305"/>
      <c r="B34" s="294"/>
      <c r="C34" s="312"/>
      <c r="D34" s="315"/>
      <c r="E34" s="303"/>
      <c r="F34" s="165" t="s">
        <v>67</v>
      </c>
      <c r="G34" s="25"/>
    </row>
    <row r="35" spans="1:7" ht="29.1" customHeight="1">
      <c r="A35" s="305"/>
      <c r="B35" s="294"/>
      <c r="C35" s="312"/>
      <c r="D35" s="315"/>
      <c r="E35" s="303"/>
      <c r="F35" s="165" t="s">
        <v>68</v>
      </c>
      <c r="G35" s="25"/>
    </row>
    <row r="36" spans="1:7" ht="126.75">
      <c r="A36" s="305"/>
      <c r="B36" s="295"/>
      <c r="C36" s="313"/>
      <c r="D36" s="316"/>
      <c r="E36" s="304"/>
      <c r="F36" s="166" t="s">
        <v>69</v>
      </c>
      <c r="G36" s="25"/>
    </row>
    <row r="37" spans="1:7" ht="112.5">
      <c r="A37" s="305"/>
      <c r="B37" s="141">
        <v>3.01</v>
      </c>
      <c r="C37" s="142" t="s">
        <v>70</v>
      </c>
      <c r="D37" s="28" t="s">
        <v>2251</v>
      </c>
      <c r="E37" s="167" t="s">
        <v>1323</v>
      </c>
      <c r="F37" s="168" t="s">
        <v>1427</v>
      </c>
      <c r="G37" s="25"/>
    </row>
    <row r="38" spans="1:7" ht="101.25">
      <c r="A38" s="305"/>
      <c r="B38" s="141">
        <v>3.02</v>
      </c>
      <c r="C38" s="142" t="s">
        <v>1356</v>
      </c>
      <c r="D38" s="28" t="s">
        <v>2252</v>
      </c>
      <c r="E38" s="167" t="s">
        <v>1371</v>
      </c>
      <c r="F38" s="168" t="s">
        <v>1428</v>
      </c>
      <c r="G38" s="25"/>
    </row>
    <row r="39" spans="1:7" ht="101.25">
      <c r="A39" s="305"/>
      <c r="B39" s="150">
        <v>4</v>
      </c>
      <c r="C39" s="149" t="s">
        <v>1524</v>
      </c>
      <c r="D39" s="28" t="s">
        <v>2253</v>
      </c>
      <c r="E39" s="27" t="s">
        <v>2198</v>
      </c>
      <c r="F39" s="27" t="s">
        <v>1525</v>
      </c>
      <c r="G39" s="25"/>
    </row>
    <row r="40" spans="1:7" ht="56.25">
      <c r="A40" s="305"/>
      <c r="B40" s="141">
        <v>4.01</v>
      </c>
      <c r="C40" s="149" t="s">
        <v>1524</v>
      </c>
      <c r="D40" s="28" t="s">
        <v>2255</v>
      </c>
      <c r="E40" s="27" t="s">
        <v>2210</v>
      </c>
      <c r="F40" s="27" t="s">
        <v>2214</v>
      </c>
      <c r="G40" s="25"/>
    </row>
    <row r="41" spans="1:7" ht="56.25">
      <c r="A41" s="305"/>
      <c r="B41" s="141" t="s">
        <v>2242</v>
      </c>
      <c r="C41" s="149" t="s">
        <v>1524</v>
      </c>
      <c r="D41" s="28" t="s">
        <v>2254</v>
      </c>
      <c r="E41" s="27" t="s">
        <v>2245</v>
      </c>
      <c r="F41" s="27" t="s">
        <v>2243</v>
      </c>
      <c r="G41" s="25"/>
    </row>
    <row r="42" spans="1:7" ht="56.25">
      <c r="A42" s="305"/>
      <c r="B42" s="141" t="s">
        <v>2276</v>
      </c>
      <c r="C42" s="149" t="s">
        <v>1524</v>
      </c>
      <c r="D42" s="28" t="s">
        <v>2281</v>
      </c>
      <c r="E42" s="27" t="s">
        <v>2244</v>
      </c>
      <c r="F42" s="27" t="s">
        <v>2277</v>
      </c>
      <c r="G42" s="25"/>
    </row>
    <row r="43" spans="1:7" ht="123.75">
      <c r="A43" s="305"/>
      <c r="B43" s="160">
        <v>4.0999999999999996</v>
      </c>
      <c r="C43" s="149" t="s">
        <v>2280</v>
      </c>
      <c r="D43" s="161">
        <v>42867</v>
      </c>
      <c r="E43" s="169" t="s">
        <v>2283</v>
      </c>
      <c r="F43" s="27" t="s">
        <v>2282</v>
      </c>
      <c r="G43" s="25"/>
    </row>
    <row r="44" spans="1:7" ht="78.75">
      <c r="A44" s="305"/>
      <c r="B44" s="160">
        <v>4.2</v>
      </c>
      <c r="C44" s="149" t="s">
        <v>2280</v>
      </c>
      <c r="D44" s="161">
        <v>42704</v>
      </c>
      <c r="E44" s="169" t="s">
        <v>2479</v>
      </c>
      <c r="F44" s="27" t="s">
        <v>2454</v>
      </c>
      <c r="G44" s="25"/>
    </row>
    <row r="45" spans="1:7" ht="157.5">
      <c r="A45" s="305"/>
      <c r="B45" s="202">
        <v>5</v>
      </c>
      <c r="C45" s="149" t="s">
        <v>2280</v>
      </c>
      <c r="D45" s="161">
        <v>42867</v>
      </c>
      <c r="E45" s="169" t="s">
        <v>12705</v>
      </c>
      <c r="F45" s="27" t="s">
        <v>12427</v>
      </c>
      <c r="G45" s="25"/>
    </row>
    <row r="46" spans="1:7" ht="45">
      <c r="A46" s="305"/>
      <c r="B46" s="160">
        <v>5.01</v>
      </c>
      <c r="C46" s="149" t="s">
        <v>2280</v>
      </c>
      <c r="D46" s="161">
        <v>42907</v>
      </c>
      <c r="E46" s="169" t="s">
        <v>15521</v>
      </c>
      <c r="F46" s="27" t="s">
        <v>12427</v>
      </c>
      <c r="G46" s="25"/>
    </row>
    <row r="47" spans="1:7" ht="67.5">
      <c r="A47" s="305"/>
      <c r="B47" s="160">
        <v>5.0999999999999996</v>
      </c>
      <c r="C47" s="149" t="s">
        <v>2280</v>
      </c>
      <c r="D47" s="161">
        <v>43070</v>
      </c>
      <c r="E47" s="169" t="s">
        <v>12915</v>
      </c>
      <c r="F47" s="27" t="s">
        <v>12916</v>
      </c>
      <c r="G47" s="25"/>
    </row>
    <row r="48" spans="1:7" ht="56.25">
      <c r="A48" s="305"/>
      <c r="B48" s="160">
        <v>5.1100000000000003</v>
      </c>
      <c r="C48" s="149" t="s">
        <v>13152</v>
      </c>
      <c r="D48" s="161">
        <v>43217</v>
      </c>
      <c r="E48" s="169" t="s">
        <v>13278</v>
      </c>
      <c r="F48" s="27" t="s">
        <v>13186</v>
      </c>
      <c r="G48" s="25"/>
    </row>
    <row r="49" spans="1:7" ht="56.25">
      <c r="A49" s="305"/>
      <c r="B49" s="160">
        <v>5.12</v>
      </c>
      <c r="C49" s="149" t="s">
        <v>13152</v>
      </c>
      <c r="D49" s="161">
        <v>43581</v>
      </c>
      <c r="E49" s="169" t="s">
        <v>13278</v>
      </c>
      <c r="F49" s="27" t="s">
        <v>13832</v>
      </c>
      <c r="G49" s="25"/>
    </row>
    <row r="50" spans="1:7" ht="78.75">
      <c r="A50" s="305"/>
      <c r="B50" s="202">
        <v>6</v>
      </c>
      <c r="C50" s="149" t="s">
        <v>13152</v>
      </c>
      <c r="D50" s="161">
        <v>43964</v>
      </c>
      <c r="E50" s="169" t="s">
        <v>14048</v>
      </c>
      <c r="F50" s="27" t="s">
        <v>13835</v>
      </c>
      <c r="G50" s="25"/>
    </row>
    <row r="51" spans="1:7" ht="45">
      <c r="A51" s="305"/>
      <c r="B51" s="160">
        <v>6.01</v>
      </c>
      <c r="C51" s="149" t="s">
        <v>13152</v>
      </c>
      <c r="D51" s="161">
        <v>43970</v>
      </c>
      <c r="E51" s="169" t="s">
        <v>15522</v>
      </c>
      <c r="F51" s="169" t="s">
        <v>13835</v>
      </c>
      <c r="G51" s="25"/>
    </row>
    <row r="52" spans="1:7" ht="45">
      <c r="A52" s="305"/>
      <c r="B52" s="160">
        <v>6.1</v>
      </c>
      <c r="C52" s="149" t="s">
        <v>13152</v>
      </c>
      <c r="D52" s="161">
        <v>44314</v>
      </c>
      <c r="E52" s="169" t="s">
        <v>15514</v>
      </c>
      <c r="F52" s="169" t="s">
        <v>15043</v>
      </c>
      <c r="G52" s="25"/>
    </row>
    <row r="53" spans="1:7" ht="45">
      <c r="A53" s="305"/>
      <c r="B53" s="160">
        <v>6.2</v>
      </c>
      <c r="C53" s="149" t="s">
        <v>13152</v>
      </c>
      <c r="D53" s="161">
        <v>44678</v>
      </c>
      <c r="E53" s="169" t="s">
        <v>15514</v>
      </c>
      <c r="F53" s="169" t="s">
        <v>15513</v>
      </c>
      <c r="G53" s="25"/>
    </row>
    <row r="54" spans="1:7" ht="45">
      <c r="A54" s="305"/>
      <c r="B54" s="160">
        <v>6.21</v>
      </c>
      <c r="C54" s="149" t="s">
        <v>13152</v>
      </c>
      <c r="D54" s="161">
        <v>44687</v>
      </c>
      <c r="E54" s="169" t="s">
        <v>15523</v>
      </c>
      <c r="F54" s="169" t="s">
        <v>15513</v>
      </c>
      <c r="G54" s="25"/>
    </row>
    <row r="55" spans="1:7" ht="45">
      <c r="A55" s="305"/>
      <c r="B55" s="160">
        <v>6.22</v>
      </c>
      <c r="C55" s="149" t="s">
        <v>13152</v>
      </c>
      <c r="D55" s="275">
        <v>44692</v>
      </c>
      <c r="E55" s="169" t="s">
        <v>15522</v>
      </c>
      <c r="F55" s="169" t="s">
        <v>15513</v>
      </c>
      <c r="G55" s="25"/>
    </row>
    <row r="56" spans="1:7" ht="56.25">
      <c r="A56" s="305"/>
      <c r="B56" s="202">
        <v>6.3</v>
      </c>
      <c r="C56" s="149" t="s">
        <v>13152</v>
      </c>
      <c r="D56" s="275">
        <v>45051</v>
      </c>
      <c r="E56" s="169" t="s">
        <v>15790</v>
      </c>
      <c r="F56" s="169" t="s">
        <v>15571</v>
      </c>
      <c r="G56" s="25"/>
    </row>
    <row r="57" spans="1:7" ht="45">
      <c r="A57" s="305"/>
      <c r="B57" s="160">
        <v>6.31</v>
      </c>
      <c r="C57" s="149" t="s">
        <v>13152</v>
      </c>
      <c r="D57" s="275">
        <v>45072</v>
      </c>
      <c r="E57" s="169" t="s">
        <v>15792</v>
      </c>
      <c r="F57" s="169" t="s">
        <v>15571</v>
      </c>
      <c r="G57" s="25"/>
    </row>
    <row r="58" spans="1:7" ht="13.5" thickBot="1">
      <c r="A58" s="306"/>
      <c r="B58" s="307" t="str">
        <f ca="1">OFFSET(L!$C$1,MATCH("General"&amp;"Cpy",L!$A:$A,0)-1,SL,,)</f>
        <v>© 2023 Responsible Minerals Initiative. All rights reserved.</v>
      </c>
      <c r="C58" s="307"/>
      <c r="D58" s="307"/>
      <c r="E58" s="307"/>
      <c r="F58" s="307"/>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F5527E8A-F312-4235-9149-905DAFD1E6A8}"/>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95B33DFE-D5F1-4B86-AE6A-27C64B742FF7}"/>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87" sqref="D87:E8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15"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495</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6" t="str">
        <f ca="1">OFFSET(L!$C$1,MATCH("Declaration"&amp;ADDRESS(ROW(),COLUMN(),4)&amp;LEFT($D$9,1),L!$A:$A,0)-1,SL,,)</f>
        <v>Go to Product List tab to enter products this declaration applies to</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Click here to enter the products this declaration applies to</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15796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15797</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15798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15800</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15801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15799</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15802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15800</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15800</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45085</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489</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488</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489</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488</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489</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489</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489</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489</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489</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489</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v>1</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v>1</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488</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488</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488</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54" t="s">
        <v>15803</v>
      </c>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2480</v>
      </c>
      <c r="D100" s="282" t="str">
        <f>IF(AND(OR($D$27="Yes",$D$27=""),OR($D$33="Yes",$D$33="")),"No","")</f>
        <v>No</v>
      </c>
      <c r="E100" s="282" t="str">
        <f>IF(AND(OR($D$26="Yes",$D$26=""),OR($D$32="Yes",$D$32="")),"50% or less","")</f>
        <v/>
      </c>
      <c r="G100" s="282" t="str">
        <f>IF(OR($D$28="Yes",$D$28=""),"Yes","")</f>
        <v>Yes</v>
      </c>
    </row>
    <row r="101" spans="2:7" ht="15.75" hidden="1">
      <c r="B101" s="236" t="s">
        <v>2481</v>
      </c>
      <c r="D101" s="282" t="str">
        <f>IF(AND(OR($D$27="Yes",$D$27=""),OR($D$33="Yes",$D$33="")),"Unknown","")</f>
        <v>Unknown</v>
      </c>
      <c r="E101" s="282" t="str">
        <f>IF(AND(OR($D$26="Yes",$D$26=""),OR($D$32="Yes",$D$32="")),"None","")</f>
        <v/>
      </c>
      <c r="G101" s="282" t="str">
        <f>IF(OR($D$28="Yes",$D$28=""),"No","")</f>
        <v>No</v>
      </c>
    </row>
    <row r="102" spans="2:7" ht="15.75" hidden="1">
      <c r="B102" s="236" t="s">
        <v>2482</v>
      </c>
      <c r="D102" s="282" t="str">
        <f>IF(AND(OR($D$28="Yes",$D$28=""),OR($D$34="Yes",$D$34="")),"Yes","")</f>
        <v>Yes</v>
      </c>
      <c r="E102" s="282" t="str">
        <f>IF(AND(OR($D$27="Yes",$D$27=""),OR($D$33="Yes",$D$33="")),"100%","")</f>
        <v>100%</v>
      </c>
      <c r="G102" s="282" t="str">
        <f>IF(OR($D$29="Yes",$D$29=""),"Yes","")</f>
        <v/>
      </c>
    </row>
    <row r="103" spans="2:7" ht="15.75" hidden="1">
      <c r="B103" s="236" t="s">
        <v>2483</v>
      </c>
      <c r="D103" s="282" t="str">
        <f>IF(AND(OR($D$28="Yes",$D$28=""),OR($D$34="Yes",$D$34="")),"No","")</f>
        <v>No</v>
      </c>
      <c r="E103" s="282" t="str">
        <f>IF(AND(OR($D$27="Yes",$D$27=""),OR($D$33="Yes",$D$33="")),"Greater than 90%","")</f>
        <v>Greater than 90%</v>
      </c>
      <c r="G103" s="282" t="str">
        <f>IF(OR($D$29="Yes",$D$29=""),"No","")</f>
        <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
      </c>
      <c r="E105" s="282" t="str">
        <f>IF(AND(OR($D$27="Yes",$D$27=""),OR($D$33="Yes",$D$33="")),"Greater than 50%","")</f>
        <v>Greater than 50%</v>
      </c>
    </row>
    <row r="106" spans="2:7" ht="15.75" hidden="1">
      <c r="B106" s="236" t="s">
        <v>12394</v>
      </c>
      <c r="D106" s="282" t="str">
        <f>IF(AND(OR($D$29="Yes",$D$29=""),OR($D$35="Yes",$D$35="")),"No","")</f>
        <v/>
      </c>
      <c r="E106" s="282" t="str">
        <f>IF(AND(OR($D$27="Yes",$D$27=""),OR($D$33="Yes",$D$33="")),"50% or less","")</f>
        <v>50% or less</v>
      </c>
    </row>
    <row r="107" spans="2:7" ht="15.75" hidden="1">
      <c r="B107" s="236" t="s">
        <v>489</v>
      </c>
      <c r="D107" s="282" t="str">
        <f>IF(AND(OR($D$29="Yes",$D$29=""),OR($D$35="Yes",$D$35="")),"Unknown","")</f>
        <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4B5792BD-8910-48FB-A3D9-F037369B2980}"/>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J13"/>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t="s">
        <v>787</v>
      </c>
      <c r="B5" s="182" t="s">
        <v>1126</v>
      </c>
      <c r="C5" s="186" t="s">
        <v>2342</v>
      </c>
      <c r="D5" s="230" t="s">
        <v>2342</v>
      </c>
      <c r="E5" s="182" t="s">
        <v>1096</v>
      </c>
      <c r="F5" s="182" t="s">
        <v>787</v>
      </c>
      <c r="G5" s="182" t="s">
        <v>15804</v>
      </c>
      <c r="H5" s="183">
        <v>0</v>
      </c>
      <c r="I5" s="184" t="s">
        <v>2446</v>
      </c>
      <c r="J5" s="184" t="s">
        <v>13628</v>
      </c>
      <c r="K5" s="224"/>
      <c r="L5" s="224"/>
      <c r="M5" s="224"/>
      <c r="N5" s="224"/>
      <c r="O5" s="224"/>
      <c r="P5" s="185"/>
      <c r="Q5" s="225"/>
      <c r="R5" s="182" t="str">
        <f ca="1">IF(ISERROR($V5),"",OFFSET('Smelter Look-up'!$C$4,$V5-4,0)&amp;"")</f>
        <v>Tin Smelting Branch of Yunnan Tin Co., Ltd.</v>
      </c>
      <c r="S5" s="181" t="str">
        <f t="shared" ref="S5" ca="1" si="0">IF(B5="","",IF(ISERROR(MATCH($E5,CL,0)),"Unknown",INDIRECT("'C'!$A$"&amp;MATCH($E5,CL,0)+1)))</f>
        <v>CN</v>
      </c>
      <c r="T5" s="181" t="str">
        <f ca="1">IF(B5="","",IF(ISERROR(MATCH($J5,SorP!$B$1:$B$6279,0)),"",INDIRECT("'SorP'!$A$"&amp;MATCH($S5&amp;$J5,SorP!C:C,0))))</f>
        <v>CN-YN</v>
      </c>
      <c r="U5" s="201"/>
      <c r="V5" s="226">
        <f>IF(C5="",NA(),IF(OR(C5="Smelter not listed",C5="Smelter not yet identified"),MATCH($B5&amp;$D5,'Smelter Look-up'!$J:$J,0),MATCH($B5&amp;$C5,'Smelter Look-up'!$J:$J,0)))</f>
        <v>547</v>
      </c>
      <c r="X5" s="227">
        <f t="shared" ref="X5" si="1">IF(AND(C5="Smelter not listed",OR(LEN(D5)=0,LEN(E5)=0)),1,0)</f>
        <v>0</v>
      </c>
      <c r="AB5" s="228" t="str">
        <f t="shared" ref="AB5" si="2">B5&amp;C5</f>
        <v>TinYunnan Tin Company Limited</v>
      </c>
    </row>
    <row r="6" spans="1:34" s="227" customFormat="1" ht="19.899999999999999" customHeight="1">
      <c r="A6" s="262" t="s">
        <v>771</v>
      </c>
      <c r="B6" s="182" t="s">
        <v>1126</v>
      </c>
      <c r="C6" s="186" t="s">
        <v>817</v>
      </c>
      <c r="D6" s="230" t="s">
        <v>817</v>
      </c>
      <c r="E6" s="182" t="s">
        <v>1111</v>
      </c>
      <c r="F6" s="182" t="s">
        <v>771</v>
      </c>
      <c r="G6" s="182" t="s">
        <v>15804</v>
      </c>
      <c r="H6" s="183">
        <v>0</v>
      </c>
      <c r="I6" s="184" t="s">
        <v>1780</v>
      </c>
      <c r="J6" s="184" t="s">
        <v>8688</v>
      </c>
      <c r="K6" s="224"/>
      <c r="L6" s="224"/>
      <c r="M6" s="224"/>
      <c r="N6" s="224"/>
      <c r="O6" s="224"/>
      <c r="P6" s="185"/>
      <c r="Q6" s="225"/>
      <c r="R6" s="182" t="str">
        <f ca="1">IF(ISERROR($V6),"",OFFSET('Smelter Look-up'!$C$4,$V6-4,0)&amp;"")</f>
        <v>Malaysia Smelting Corporation (MSC)</v>
      </c>
      <c r="S6" s="181" t="str">
        <f t="shared" ref="S6:S37" ca="1" si="3">IF(B6="","",IF(ISERROR(MATCH($E6,CL,0)),"Unknown",INDIRECT("'C'!$A$"&amp;MATCH($E6,CL,0)+1)))</f>
        <v>MY</v>
      </c>
      <c r="T6" s="181" t="str">
        <f ca="1">IF(B6="","",IF(ISERROR(MATCH($J6,SorP!$B$1:$B$6279,0)),"",INDIRECT("'SorP'!$A$"&amp;MATCH($S6&amp;$J6,SorP!C:C,0))))</f>
        <v>MY-07</v>
      </c>
      <c r="U6" s="201"/>
      <c r="V6" s="226">
        <f>IF(C6="",NA(),IF(OR(C6="Smelter not listed",C6="Smelter not yet identified"),MATCH($B6&amp;$D6,'Smelter Look-up'!$J:$J,0),MATCH($B6&amp;$C6,'Smelter Look-up'!$J:$J,0)))</f>
        <v>458</v>
      </c>
      <c r="X6" s="227">
        <f t="shared" ref="X6:X37" si="4">IF(AND(C6="Smelter not listed",OR(LEN(D6)=0,LEN(E6)=0)),1,0)</f>
        <v>0</v>
      </c>
      <c r="AB6" s="228" t="str">
        <f t="shared" ref="AB6:AB37" si="5">B6&amp;C6</f>
        <v>TinMalaysia Smelting Corporation (MSC)</v>
      </c>
    </row>
    <row r="7" spans="1:34" s="227" customFormat="1" ht="19.899999999999999" customHeight="1">
      <c r="A7" s="262" t="s">
        <v>800</v>
      </c>
      <c r="B7" s="182" t="s">
        <v>1126</v>
      </c>
      <c r="C7" s="186" t="s">
        <v>13802</v>
      </c>
      <c r="D7" s="230" t="s">
        <v>15805</v>
      </c>
      <c r="E7" s="182" t="s">
        <v>1101</v>
      </c>
      <c r="F7" s="182" t="s">
        <v>800</v>
      </c>
      <c r="G7" s="182" t="s">
        <v>15804</v>
      </c>
      <c r="H7" s="183" t="s">
        <v>15806</v>
      </c>
      <c r="I7" s="184" t="s">
        <v>15806</v>
      </c>
      <c r="J7" s="184" t="s">
        <v>15806</v>
      </c>
      <c r="K7" s="224"/>
      <c r="L7" s="224"/>
      <c r="M7" s="224"/>
      <c r="N7" s="224"/>
      <c r="O7" s="224"/>
      <c r="P7" s="185"/>
      <c r="Q7" s="225"/>
      <c r="R7" s="182" t="str">
        <f ca="1">IF(ISERROR($V7),"",OFFSET('Smelter Look-up'!$C$4,$V7-4,0)&amp;"")</f>
        <v>PT Timah Tbk Kundur</v>
      </c>
      <c r="S7" s="181" t="str">
        <f t="shared" ca="1" si="3"/>
        <v>ID</v>
      </c>
      <c r="T7" s="181" t="str">
        <f ca="1">IF(B7="","",IF(ISERROR(MATCH($J7,SorP!$B$1:$B$6279,0)),"",INDIRECT("'SorP'!$A$"&amp;MATCH($S7&amp;$J7,SorP!C:C,0))))</f>
        <v/>
      </c>
      <c r="U7" s="201"/>
      <c r="V7" s="226">
        <f>IF(C7="",NA(),IF(OR(C7="Smelter not listed",C7="Smelter not yet identified"),MATCH($B7&amp;$D7,'Smelter Look-up'!$J:$J,0),MATCH($B7&amp;$C7,'Smelter Look-up'!$J:$J,0)))</f>
        <v>513</v>
      </c>
      <c r="X7" s="227">
        <f t="shared" si="4"/>
        <v>0</v>
      </c>
      <c r="AB7" s="228" t="str">
        <f t="shared" si="5"/>
        <v>TinPT Timah Tbk Kundur</v>
      </c>
    </row>
    <row r="8" spans="1:34" s="227" customFormat="1" ht="19.899999999999999" customHeight="1">
      <c r="A8" s="262" t="s">
        <v>780</v>
      </c>
      <c r="B8" s="182" t="s">
        <v>1126</v>
      </c>
      <c r="C8" s="186" t="s">
        <v>2157</v>
      </c>
      <c r="D8" s="230" t="s">
        <v>2157</v>
      </c>
      <c r="E8" s="182" t="s">
        <v>1101</v>
      </c>
      <c r="F8" s="182" t="s">
        <v>780</v>
      </c>
      <c r="G8" s="182" t="s">
        <v>15804</v>
      </c>
      <c r="H8" s="183">
        <v>0</v>
      </c>
      <c r="I8" s="184" t="s">
        <v>1767</v>
      </c>
      <c r="J8" s="184" t="s">
        <v>12852</v>
      </c>
      <c r="K8" s="224"/>
      <c r="L8" s="224"/>
      <c r="M8" s="224"/>
      <c r="N8" s="224"/>
      <c r="O8" s="224"/>
      <c r="P8" s="185"/>
      <c r="Q8" s="225"/>
      <c r="R8" s="182" t="str">
        <f ca="1">IF(ISERROR($V8),"",OFFSET('Smelter Look-up'!$C$4,$V8-4,0)&amp;"")</f>
        <v>PT Refined Bangka Tin</v>
      </c>
      <c r="S8" s="181" t="str">
        <f t="shared" ca="1" si="3"/>
        <v>ID</v>
      </c>
      <c r="T8" s="181" t="str">
        <f ca="1">IF(B8="","",IF(ISERROR(MATCH($J8,SorP!$B$1:$B$6279,0)),"",INDIRECT("'SorP'!$A$"&amp;MATCH($S8&amp;$J8,SorP!C:C,0))))</f>
        <v>ID-BB</v>
      </c>
      <c r="U8" s="201"/>
      <c r="V8" s="226">
        <f>IF(C8="",NA(),IF(OR(C8="Smelter not listed",C8="Smelter not yet identified"),MATCH($B8&amp;$D8,'Smelter Look-up'!$J:$J,0),MATCH($B8&amp;$C8,'Smelter Look-up'!$J:$J,0)))</f>
        <v>507</v>
      </c>
      <c r="X8" s="227">
        <f t="shared" si="4"/>
        <v>0</v>
      </c>
      <c r="AB8" s="228" t="str">
        <f t="shared" si="5"/>
        <v>TinPT Refined Bangka Tin</v>
      </c>
    </row>
    <row r="9" spans="1:34" s="227" customFormat="1" ht="19.899999999999999" customHeight="1">
      <c r="A9" s="262" t="s">
        <v>763</v>
      </c>
      <c r="B9" s="182" t="s">
        <v>1126</v>
      </c>
      <c r="C9" s="186" t="s">
        <v>49</v>
      </c>
      <c r="D9" s="230" t="s">
        <v>49</v>
      </c>
      <c r="E9" s="182" t="s">
        <v>2432</v>
      </c>
      <c r="F9" s="182" t="s">
        <v>763</v>
      </c>
      <c r="G9" s="182" t="s">
        <v>15804</v>
      </c>
      <c r="H9" s="183">
        <v>0</v>
      </c>
      <c r="I9" s="184" t="s">
        <v>1760</v>
      </c>
      <c r="J9" s="184" t="s">
        <v>1737</v>
      </c>
      <c r="K9" s="224"/>
      <c r="L9" s="224"/>
      <c r="M9" s="224"/>
      <c r="N9" s="224"/>
      <c r="O9" s="224"/>
      <c r="P9" s="185"/>
      <c r="Q9" s="225"/>
      <c r="R9" s="182" t="str">
        <f ca="1">IF(ISERROR($V9),"",OFFSET('Smelter Look-up'!$C$4,$V9-4,0)&amp;"")</f>
        <v>Alpha</v>
      </c>
      <c r="S9" s="181" t="str">
        <f t="shared" ca="1" si="3"/>
        <v>US</v>
      </c>
      <c r="T9" s="181" t="str">
        <f ca="1">IF(B9="","",IF(ISERROR(MATCH($J9,SorP!$B$1:$B$6279,0)),"",INDIRECT("'SorP'!$A$"&amp;MATCH($S9&amp;$J9,SorP!C:C,0))))</f>
        <v>US-PA</v>
      </c>
      <c r="U9" s="201"/>
      <c r="V9" s="226">
        <f>IF(C9="",NA(),IF(OR(C9="Smelter not listed",C9="Smelter not yet identified"),MATCH($B9&amp;$D9,'Smelter Look-up'!$J:$J,0),MATCH($B9&amp;$C9,'Smelter Look-up'!$J:$J,0)))</f>
        <v>389</v>
      </c>
      <c r="X9" s="227">
        <f t="shared" si="4"/>
        <v>0</v>
      </c>
      <c r="AB9" s="228" t="str">
        <f t="shared" si="5"/>
        <v>TinAlpha</v>
      </c>
    </row>
    <row r="10" spans="1:34" s="227" customFormat="1" ht="19.899999999999999" customHeight="1">
      <c r="A10" s="262" t="s">
        <v>784</v>
      </c>
      <c r="B10" s="182" t="s">
        <v>1126</v>
      </c>
      <c r="C10" s="186" t="s">
        <v>1797</v>
      </c>
      <c r="D10" s="230" t="s">
        <v>1027</v>
      </c>
      <c r="E10" s="182" t="s">
        <v>884</v>
      </c>
      <c r="F10" s="182" t="s">
        <v>784</v>
      </c>
      <c r="G10" s="182" t="s">
        <v>15804</v>
      </c>
      <c r="H10" s="183">
        <v>0</v>
      </c>
      <c r="I10" s="184" t="s">
        <v>1795</v>
      </c>
      <c r="J10" s="184" t="s">
        <v>1796</v>
      </c>
      <c r="K10" s="224"/>
      <c r="L10" s="224"/>
      <c r="M10" s="224"/>
      <c r="N10" s="224"/>
      <c r="O10" s="224"/>
      <c r="P10" s="185"/>
      <c r="Q10" s="225"/>
      <c r="R10" s="182" t="str">
        <f ca="1">IF(ISERROR($V10),"",OFFSET('Smelter Look-up'!$C$4,$V10-4,0)&amp;"")</f>
        <v>Thaisarco</v>
      </c>
      <c r="S10" s="181" t="str">
        <f t="shared" ca="1" si="3"/>
        <v>TH</v>
      </c>
      <c r="T10" s="181" t="str">
        <f ca="1">IF(B10="","",IF(ISERROR(MATCH($J10,SorP!$B$1:$B$6279,0)),"",INDIRECT("'SorP'!$A$"&amp;MATCH($S10&amp;$J10,SorP!C:C,0))))</f>
        <v>TH-83</v>
      </c>
      <c r="U10" s="201"/>
      <c r="V10" s="226">
        <f>IF(C10="",NA(),IF(OR(C10="Smelter not listed",C10="Smelter not yet identified"),MATCH($B10&amp;$D10,'Smelter Look-up'!$J:$J,0),MATCH($B10&amp;$C10,'Smelter Look-up'!$J:$J,0)))</f>
        <v>525</v>
      </c>
      <c r="X10" s="227">
        <f t="shared" si="4"/>
        <v>0</v>
      </c>
      <c r="AB10" s="228" t="str">
        <f t="shared" si="5"/>
        <v>TinThailand Smelting &amp; Refining Co Ltd</v>
      </c>
    </row>
    <row r="11" spans="1:34" s="227" customFormat="1" ht="19.899999999999999" customHeight="1">
      <c r="A11" s="262" t="s">
        <v>773</v>
      </c>
      <c r="B11" s="182" t="s">
        <v>1126</v>
      </c>
      <c r="C11" s="186" t="s">
        <v>1030</v>
      </c>
      <c r="D11" s="230" t="s">
        <v>1030</v>
      </c>
      <c r="E11" s="182" t="s">
        <v>876</v>
      </c>
      <c r="F11" s="182" t="s">
        <v>773</v>
      </c>
      <c r="G11" s="182" t="s">
        <v>15804</v>
      </c>
      <c r="H11" s="183">
        <v>0</v>
      </c>
      <c r="I11" s="184" t="s">
        <v>1785</v>
      </c>
      <c r="J11" s="184" t="s">
        <v>9115</v>
      </c>
      <c r="K11" s="224"/>
      <c r="L11" s="224"/>
      <c r="M11" s="224"/>
      <c r="N11" s="224"/>
      <c r="O11" s="224"/>
      <c r="P11" s="185"/>
      <c r="Q11" s="225"/>
      <c r="R11" s="182" t="str">
        <f ca="1">IF(ISERROR($V11),"",OFFSET('Smelter Look-up'!$C$4,$V11-4,0)&amp;"")</f>
        <v>Minsur</v>
      </c>
      <c r="S11" s="181" t="str">
        <f t="shared" ca="1" si="3"/>
        <v>PE</v>
      </c>
      <c r="T11" s="181" t="str">
        <f ca="1">IF(B11="","",IF(ISERROR(MATCH($J11,SorP!$B$1:$B$6279,0)),"",INDIRECT("'SorP'!$A$"&amp;MATCH($S11&amp;$J11,SorP!C:C,0))))</f>
        <v>PE-ICA</v>
      </c>
      <c r="U11" s="201"/>
      <c r="V11" s="226">
        <f>IF(C11="",NA(),IF(OR(C11="Smelter not listed",C11="Smelter not yet identified"),MATCH($B11&amp;$D11,'Smelter Look-up'!$J:$J,0),MATCH($B11&amp;$C11,'Smelter Look-up'!$J:$J,0)))</f>
        <v>470</v>
      </c>
      <c r="X11" s="227">
        <f t="shared" si="4"/>
        <v>0</v>
      </c>
      <c r="AB11" s="228" t="str">
        <f t="shared" si="5"/>
        <v>TinMinsur</v>
      </c>
    </row>
    <row r="12" spans="1:34" s="227" customFormat="1" ht="19.899999999999999" customHeight="1">
      <c r="A12" s="262" t="s">
        <v>706</v>
      </c>
      <c r="B12" s="182" t="s">
        <v>1125</v>
      </c>
      <c r="C12" s="186" t="s">
        <v>1224</v>
      </c>
      <c r="D12" s="230" t="s">
        <v>1224</v>
      </c>
      <c r="E12" s="182" t="s">
        <v>2432</v>
      </c>
      <c r="F12" s="182" t="s">
        <v>706</v>
      </c>
      <c r="G12" s="182" t="s">
        <v>15804</v>
      </c>
      <c r="H12" s="183">
        <v>0</v>
      </c>
      <c r="I12" s="184" t="s">
        <v>1624</v>
      </c>
      <c r="J12" s="184" t="s">
        <v>1625</v>
      </c>
      <c r="K12" s="224"/>
      <c r="L12" s="224"/>
      <c r="M12" s="224"/>
      <c r="N12" s="224"/>
      <c r="O12" s="224"/>
      <c r="P12" s="185"/>
      <c r="Q12" s="225"/>
      <c r="R12" s="182" t="str">
        <f ca="1">IF(ISERROR($V12),"",OFFSET('Smelter Look-up'!$C$4,$V12-4,0)&amp;"")</f>
        <v>Metalor USA Refining Corporation</v>
      </c>
      <c r="S12" s="181" t="str">
        <f t="shared" ca="1" si="3"/>
        <v>US</v>
      </c>
      <c r="T12" s="181" t="str">
        <f ca="1">IF(B12="","",IF(ISERROR(MATCH($J12,SorP!$B$1:$B$6279,0)),"",INDIRECT("'SorP'!$A$"&amp;MATCH($S12&amp;$J12,SorP!C:C,0))))</f>
        <v>US-MA</v>
      </c>
      <c r="U12" s="201"/>
      <c r="V12" s="226">
        <f>IF(C12="",NA(),IF(OR(C12="Smelter not listed",C12="Smelter not yet identified"),MATCH($B12&amp;$D12,'Smelter Look-up'!$J:$J,0),MATCH($B12&amp;$C12,'Smelter Look-up'!$J:$J,0)))</f>
        <v>176</v>
      </c>
      <c r="X12" s="227">
        <f t="shared" si="4"/>
        <v>0</v>
      </c>
      <c r="AB12" s="228" t="str">
        <f t="shared" si="5"/>
        <v>GoldMetalor USA Refining Corporation</v>
      </c>
    </row>
    <row r="13" spans="1:34" s="227" customFormat="1" ht="19.899999999999999" customHeight="1">
      <c r="A13" s="262" t="s">
        <v>726</v>
      </c>
      <c r="B13" s="182" t="s">
        <v>1125</v>
      </c>
      <c r="C13" s="186" t="s">
        <v>2160</v>
      </c>
      <c r="D13" s="230" t="s">
        <v>2160</v>
      </c>
      <c r="E13" s="182" t="s">
        <v>1096</v>
      </c>
      <c r="F13" s="182" t="s">
        <v>726</v>
      </c>
      <c r="G13" s="182" t="s">
        <v>15804</v>
      </c>
      <c r="H13" s="183">
        <v>0</v>
      </c>
      <c r="I13" s="184" t="s">
        <v>1585</v>
      </c>
      <c r="J13" s="184" t="s">
        <v>13620</v>
      </c>
      <c r="K13" s="224"/>
      <c r="L13" s="224"/>
      <c r="M13" s="224"/>
      <c r="N13" s="224"/>
      <c r="O13" s="224"/>
      <c r="P13" s="185"/>
      <c r="Q13" s="225"/>
      <c r="R13" s="182" t="str">
        <f ca="1">IF(ISERROR($V13),"",OFFSET('Smelter Look-up'!$C$4,$V13-4,0)&amp;"")</f>
        <v>Shandong Zhaojin Gold &amp; Silver Refinery Co., Ltd.</v>
      </c>
      <c r="S13" s="181" t="str">
        <f t="shared" ca="1" si="3"/>
        <v>CN</v>
      </c>
      <c r="T13" s="181" t="str">
        <f ca="1">IF(B13="","",IF(ISERROR(MATCH($J13,SorP!$B$1:$B$6279,0)),"",INDIRECT("'SorP'!$A$"&amp;MATCH($S13&amp;$J13,SorP!C:C,0))))</f>
        <v>CN-SD</v>
      </c>
      <c r="U13" s="201"/>
      <c r="V13" s="226">
        <f>IF(C13="",NA(),IF(OR(C13="Smelter not listed",C13="Smelter not yet identified"),MATCH($B13&amp;$D13,'Smelter Look-up'!$J:$J,0),MATCH($B13&amp;$C13,'Smelter Look-up'!$J:$J,0)))</f>
        <v>246</v>
      </c>
      <c r="X13" s="227">
        <f t="shared" si="4"/>
        <v>0</v>
      </c>
      <c r="AB13" s="228" t="str">
        <f t="shared" si="5"/>
        <v>GoldShandong Zhaojin Gold &amp; Silver Refinery Co., Ltd.</v>
      </c>
    </row>
    <row r="14" spans="1:34" s="227" customFormat="1" ht="19.899999999999999"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19.899999999999999"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19.899999999999999"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19.89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19.89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4C48CAD8-4508-4218-97C9-2115750846AD}"/>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Tecate Group</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Go to Product List tab to enter products this declaration applies to</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Jim Kroessler</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jimk@tecategroup.com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619-398-9700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Jim Kroessler</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jimk@tecategroup.com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45085</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f>IF(AND($B$15="Yes",$B$20="Yes"),Declaration!D57,0)</f>
        <v>1</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f>IF(AND($B$16="Yes",$B$21="Yes"),Declaration!D58,0)</f>
        <v>1</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http://www.tecategroup.com/about/dec&amp;cert-files/TecateGroup-ConflictMineralsPolicy.pdf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1302</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24" sqref="B24"/>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t="s">
        <v>15807</v>
      </c>
      <c r="C6" s="98"/>
      <c r="D6" s="98"/>
      <c r="E6" s="276"/>
    </row>
    <row r="7" spans="1:6" ht="15.75">
      <c r="A7" s="129"/>
      <c r="B7" s="274" t="s">
        <v>15808</v>
      </c>
      <c r="C7" s="98"/>
      <c r="D7" s="98"/>
      <c r="E7" s="276"/>
    </row>
    <row r="8" spans="1:6" ht="15.75">
      <c r="A8" s="129"/>
      <c r="B8" s="274" t="s">
        <v>15809</v>
      </c>
      <c r="C8" s="98"/>
      <c r="D8" s="98"/>
      <c r="E8" s="276"/>
    </row>
    <row r="9" spans="1:6" ht="15.75">
      <c r="A9" s="129"/>
      <c r="B9" s="274" t="s">
        <v>15810</v>
      </c>
      <c r="C9" s="98"/>
      <c r="D9" s="98"/>
      <c r="E9" s="276"/>
    </row>
    <row r="10" spans="1:6" ht="15.75">
      <c r="A10" s="129"/>
      <c r="B10" s="274" t="s">
        <v>15811</v>
      </c>
      <c r="C10" s="98"/>
      <c r="D10" s="98"/>
      <c r="E10" s="276"/>
    </row>
    <row r="11" spans="1:6" ht="15.75">
      <c r="A11" s="129"/>
      <c r="B11" s="274" t="s">
        <v>15812</v>
      </c>
      <c r="C11" s="98"/>
      <c r="D11" s="98"/>
      <c r="E11" s="276"/>
    </row>
    <row r="12" spans="1:6" ht="15.75">
      <c r="A12" s="129"/>
      <c r="B12" s="274" t="s">
        <v>15813</v>
      </c>
      <c r="C12" s="98"/>
      <c r="D12" s="98"/>
      <c r="E12" s="276"/>
    </row>
    <row r="13" spans="1:6" ht="15.75">
      <c r="A13" s="129"/>
      <c r="B13" s="274" t="s">
        <v>15814</v>
      </c>
      <c r="C13" s="98"/>
      <c r="D13" s="98"/>
      <c r="E13" s="276"/>
    </row>
    <row r="14" spans="1:6" ht="15.75">
      <c r="A14" s="129"/>
      <c r="B14" s="274" t="s">
        <v>15815</v>
      </c>
      <c r="C14" s="98"/>
      <c r="D14" s="98"/>
      <c r="E14" s="276"/>
    </row>
    <row r="15" spans="1:6" ht="15.75">
      <c r="A15" s="129"/>
      <c r="B15" s="274" t="s">
        <v>15816</v>
      </c>
      <c r="C15" s="98"/>
      <c r="D15" s="98"/>
      <c r="E15" s="276"/>
    </row>
    <row r="16" spans="1:6" ht="15.75">
      <c r="A16" s="129"/>
      <c r="B16" s="274" t="s">
        <v>15817</v>
      </c>
      <c r="C16" s="98"/>
      <c r="D16" s="98"/>
      <c r="E16" s="276"/>
    </row>
    <row r="17" spans="1:5" ht="15.75">
      <c r="A17" s="129"/>
      <c r="B17" s="274" t="s">
        <v>15818</v>
      </c>
      <c r="C17" s="98"/>
      <c r="D17" s="98"/>
      <c r="E17" s="276"/>
    </row>
    <row r="18" spans="1:5" ht="15.75">
      <c r="A18" s="129"/>
      <c r="B18" s="274" t="s">
        <v>15819</v>
      </c>
      <c r="C18" s="98"/>
      <c r="D18" s="98"/>
      <c r="E18" s="276"/>
    </row>
    <row r="19" spans="1:5" ht="15.75">
      <c r="A19" s="129"/>
      <c r="B19" s="274" t="s">
        <v>15820</v>
      </c>
      <c r="C19" s="98"/>
      <c r="D19" s="98"/>
      <c r="E19" s="276"/>
    </row>
    <row r="20" spans="1:5" ht="15.75">
      <c r="A20" s="129"/>
      <c r="B20" s="274" t="s">
        <v>15821</v>
      </c>
      <c r="C20" s="98"/>
      <c r="D20" s="98"/>
      <c r="E20" s="276"/>
    </row>
    <row r="21" spans="1:5" ht="15.75">
      <c r="A21" s="129"/>
      <c r="B21" s="274" t="s">
        <v>15822</v>
      </c>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James Kroessler</cp:lastModifiedBy>
  <cp:lastPrinted>2015-04-21T20:47:43Z</cp:lastPrinted>
  <dcterms:created xsi:type="dcterms:W3CDTF">2010-06-21T21:00:23Z</dcterms:created>
  <dcterms:modified xsi:type="dcterms:W3CDTF">2023-06-08T23:29:27Z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