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I:\Quality Control\RoHS COC\CM Conflict Minerals - CMRT-CRT-MRT-EMRT-PRT\Conflict Minerals Declerations - CMRT\EICC DD Rev 6.40 20240426\"/>
    </mc:Choice>
  </mc:AlternateContent>
  <xr:revisionPtr revIDLastSave="0" documentId="13_ncr:1_{7CAFD1D1-9627-4340-8EB0-2DD16BDCA16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0810" yWindow="1455" windowWidth="26595" windowHeight="133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<sst xmlns="http://schemas.openxmlformats.org/spreadsheetml/2006/main" count="22528" uniqueCount="15880">
  <si>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</si>
  <si>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</si>
  <si>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</si>
  <si>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</si>
  <si>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</si>
  <si>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</si>
  <si>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</si>
  <si>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</si>
  <si>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</si>
  <si>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</si>
  <si>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</si>
  <si>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</si>
  <si>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</si>
  <si>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</si>
  <si>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</si>
  <si>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</si>
  <si>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</si>
  <si>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</si>
  <si>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</si>
  <si>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</si>
  <si>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</si>
  <si>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</si>
  <si>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</si>
  <si>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</si>
  <si>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</si>
  <si>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</si>
  <si>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</si>
  <si>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</si>
  <si>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</si>
  <si>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</si>
  <si>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</si>
  <si>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</si>
  <si>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</si>
  <si>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</si>
  <si>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</si>
  <si>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</si>
  <si>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</si>
  <si>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</si>
  <si>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</si>
  <si>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</si>
  <si>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</si>
  <si>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</si>
  <si>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</si>
  <si>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</si>
  <si>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</si>
  <si>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</si>
  <si>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</si>
  <si>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</si>
  <si>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</si>
  <si>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</si>
  <si>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</si>
  <si>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</si>
  <si>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</si>
  <si>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</si>
  <si>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</si>
  <si>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</si>
  <si>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</si>
  <si>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</si>
  <si>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</si>
  <si>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</si>
  <si>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</si>
  <si>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</si>
  <si>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</si>
  <si>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</si>
  <si>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</si>
  <si>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</si>
  <si>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</si>
  <si>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</si>
  <si>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</si>
  <si>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</si>
  <si>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</si>
  <si>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</si>
  <si>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</si>
  <si>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</si>
  <si>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</si>
  <si>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</si>
  <si>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</si>
  <si>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</si>
  <si>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</si>
  <si>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</si>
  <si>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</si>
  <si>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</si>
  <si>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</si>
  <si>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</si>
  <si>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</si>
  <si>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</si>
  <si>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</si>
  <si>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</si>
  <si>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</si>
  <si>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</si>
  <si>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</si>
  <si>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</si>
  <si>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</si>
  <si>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</si>
  <si>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</si>
  <si>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</si>
  <si>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</si>
  <si>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</si>
  <si>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</si>
  <si>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</si>
  <si>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</si>
  <si>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</si>
  <si>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</si>
  <si>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</si>
  <si>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</si>
  <si>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</si>
  <si>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</si>
  <si>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</si>
  <si>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</si>
  <si>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</si>
  <si>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</si>
  <si>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</si>
  <si>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</si>
  <si>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</si>
  <si>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</si>
  <si>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</si>
  <si>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</si>
  <si>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</si>
  <si>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</si>
  <si>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</si>
  <si>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</si>
  <si>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</si>
  <si>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</si>
  <si>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</si>
  <si>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</si>
  <si>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</si>
  <si>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</si>
  <si>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</si>
  <si>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</si>
  <si>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</si>
  <si>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</si>
  <si>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</si>
  <si>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</si>
  <si>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</si>
  <si>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</si>
  <si>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</si>
  <si>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</si>
  <si>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</si>
  <si>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</si>
  <si>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</si>
  <si>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</si>
  <si>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</si>
  <si>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</si>
  <si>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</si>
  <si>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</si>
  <si>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</si>
  <si>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</si>
  <si>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</si>
  <si>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</si>
  <si>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</si>
  <si>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</si>
  <si>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</si>
  <si>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</si>
  <si>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</si>
  <si>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</si>
  <si>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</si>
  <si>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</si>
  <si>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</si>
  <si>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</si>
  <si>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</si>
  <si>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</si>
  <si>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</si>
  <si>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</si>
  <si>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</si>
  <si>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</si>
  <si>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</si>
  <si>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</si>
  <si>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</si>
  <si>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</si>
  <si>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</si>
  <si>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</si>
  <si>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</si>
  <si>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</si>
  <si>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</si>
  <si>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</si>
  <si>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</si>
  <si>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</si>
  <si>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</si>
  <si>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</si>
  <si>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</si>
  <si>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</si>
  <si>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</si>
  <si>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</si>
  <si>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</si>
  <si>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</si>
  <si>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</si>
  <si>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</si>
  <si>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</si>
  <si>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</si>
  <si>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</si>
  <si>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</si>
  <si>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</si>
  <si>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</si>
  <si>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</si>
  <si>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</si>
  <si>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</si>
  <si>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</si>
  <si>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</si>
  <si>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</si>
  <si>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</si>
  <si>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</si>
  <si>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</si>
  <si>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</si>
  <si>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</si>
  <si>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</si>
  <si>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</si>
  <si>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</si>
  <si>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</si>
  <si>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</si>
  <si>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</si>
  <si>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</si>
  <si>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</si>
  <si>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</si>
  <si>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</si>
  <si>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</si>
  <si>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</si>
  <si>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</si>
  <si>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</si>
  <si>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</si>
  <si>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</si>
  <si>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</si>
  <si>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</si>
  <si>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</si>
  <si>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</si>
  <si>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</si>
  <si>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</si>
  <si>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</si>
  <si>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</si>
  <si>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</si>
  <si>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</si>
  <si>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</si>
  <si>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</si>
  <si>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</si>
  <si>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</si>
  <si>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</si>
  <si>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</si>
  <si>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</si>
  <si>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</si>
  <si>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</si>
  <si>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</si>
  <si>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</si>
  <si>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</si>
  <si>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</si>
  <si>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</si>
  <si>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</si>
  <si>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</si>
  <si>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</si>
  <si>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</si>
  <si>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</si>
  <si>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</si>
  <si>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</si>
  <si>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</si>
  <si>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</si>
  <si>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</si>
  <si>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</si>
  <si>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</si>
  <si>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</si>
  <si>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</si>
  <si>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</si>
  <si>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</si>
  <si>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</si>
  <si>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</si>
  <si>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</si>
  <si>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</si>
  <si>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</si>
  <si>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</si>
  <si>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</si>
  <si>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</si>
  <si>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</si>
  <si>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</si>
  <si>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</si>
  <si>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</si>
  <si>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</si>
  <si>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</si>
  <si>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</si>
  <si>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</si>
  <si>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</si>
  <si>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</si>
  <si>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</si>
  <si>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</si>
  <si>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</si>
  <si>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</si>
  <si>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</si>
  <si>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</si>
  <si>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</si>
  <si>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</si>
  <si>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</si>
  <si>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</si>
  <si>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</si>
  <si>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</si>
  <si>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</si>
  <si>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</si>
  <si>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</si>
  <si>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</si>
  <si>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</si>
  <si>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</si>
  <si>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</si>
  <si>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</si>
  <si>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</si>
  <si>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</si>
  <si>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</si>
  <si>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</si>
  <si>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</si>
  <si>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</si>
  <si>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</si>
  <si>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</si>
  <si>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</si>
  <si>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</si>
  <si>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</si>
  <si>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</si>
  <si>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</si>
  <si>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</si>
  <si>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</si>
  <si>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</si>
  <si>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</si>
  <si>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</si>
  <si>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</si>
  <si>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</si>
  <si>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</si>
  <si>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</si>
  <si>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</si>
  <si>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</si>
  <si>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</si>
  <si>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</si>
  <si>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</si>
  <si>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</si>
  <si>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</si>
  <si>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</si>
  <si>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</si>
  <si>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</si>
  <si>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</si>
  <si>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</si>
  <si>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</si>
  <si>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</si>
  <si>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</si>
  <si>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</si>
  <si>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</si>
  <si>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</si>
  <si>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</si>
  <si>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</si>
  <si>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</si>
  <si>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</si>
  <si>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</si>
  <si>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</si>
  <si>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</si>
  <si>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</si>
  <si>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</si>
  <si>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</si>
  <si>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</si>
  <si>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</si>
  <si>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</si>
  <si>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</si>
  <si>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</si>
  <si>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</si>
  <si>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</si>
  <si>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</si>
  <si>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</si>
  <si>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</si>
  <si>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</si>
  <si>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</si>
  <si>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</si>
  <si>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</si>
  <si>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</si>
  <si>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</si>
  <si>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</si>
  <si>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</si>
  <si>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</si>
  <si>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</si>
  <si>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</si>
  <si>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</si>
  <si>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</si>
  <si>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</si>
  <si>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</si>
  <si>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</si>
  <si>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</si>
  <si>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</si>
  <si>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</si>
  <si>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</si>
  <si>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</si>
  <si>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</si>
  <si>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</si>
  <si>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</si>
  <si>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</si>
  <si>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</si>
  <si>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</si>
  <si>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</si>
  <si>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</si>
  <si>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</si>
  <si>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</si>
  <si>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</si>
  <si>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</si>
  <si>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</si>
  <si>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</si>
  <si>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</si>
  <si>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</si>
  <si>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</si>
  <si>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</si>
  <si>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</si>
  <si>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</si>
  <si>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</si>
  <si>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</si>
  <si>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</si>
  <si>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</si>
  <si>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</si>
  <si>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</si>
  <si>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</si>
  <si>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</si>
  <si>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</si>
  <si>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</si>
  <si>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</si>
  <si>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</si>
  <si>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</si>
  <si>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</si>
  <si>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</si>
  <si>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</si>
  <si>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</si>
  <si>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</si>
  <si>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</si>
  <si>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</si>
  <si>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</si>
  <si>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</si>
  <si>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</si>
  <si>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</si>
  <si>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</si>
  <si>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</si>
  <si>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</si>
  <si>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</si>
  <si>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</si>
  <si>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</si>
  <si>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</si>
  <si>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</si>
  <si>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</si>
  <si>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</si>
  <si>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</si>
  <si>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</si>
  <si>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</si>
  <si>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</si>
  <si>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</si>
  <si>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</si>
  <si>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</si>
  <si>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</si>
  <si>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</si>
  <si>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</si>
  <si>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</si>
  <si>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</si>
  <si>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</si>
  <si>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</si>
  <si>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</si>
  <si>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</si>
  <si>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</si>
  <si>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</si>
  <si>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</si>
  <si>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</si>
  <si>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</si>
  <si>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</si>
  <si>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</si>
  <si>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</si>
  <si>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</si>
  <si>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</si>
  <si>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</si>
  <si>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</si>
  <si>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</si>
  <si>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</si>
  <si>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</si>
  <si>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</si>
  <si>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</si>
  <si>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</si>
  <si>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</si>
  <si>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</si>
  <si>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</si>
  <si>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</si>
  <si>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</si>
  <si>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</si>
  <si>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</si>
  <si>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</si>
  <si>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</si>
  <si>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</si>
  <si>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</si>
  <si>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</si>
  <si>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</si>
  <si>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</si>
  <si>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</si>
  <si>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</si>
  <si>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</si>
  <si>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</si>
  <si>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</si>
  <si>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</si>
  <si>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</si>
  <si>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</si>
  <si>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</si>
  <si>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</si>
  <si>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</si>
  <si>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</si>
  <si>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</si>
  <si>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</si>
  <si>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</si>
  <si>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</si>
  <si>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</si>
  <si>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</si>
  <si>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</si>
  <si>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</si>
  <si>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</si>
  <si>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</si>
  <si>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</si>
  <si>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</si>
  <si>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</si>
  <si>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</si>
  <si>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</si>
  <si>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</si>
  <si>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</si>
  <si>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</si>
  <si>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</si>
  <si>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</si>
  <si>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</si>
  <si>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</si>
  <si>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</si>
  <si>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</si>
  <si>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</si>
  <si>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</si>
  <si>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</si>
  <si>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</si>
  <si>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</si>
  <si>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</si>
  <si>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</si>
  <si>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</si>
  <si>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</si>
  <si>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</si>
  <si>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</si>
  <si>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</si>
  <si>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</si>
  <si>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</si>
  <si>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</si>
  <si>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</si>
  <si>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</si>
  <si>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</si>
  <si>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</si>
  <si>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</si>
  <si>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</si>
  <si>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</si>
  <si>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</si>
  <si>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</si>
  <si>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</si>
  <si>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</si>
  <si>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</si>
  <si>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</si>
  <si>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</si>
  <si>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</si>
  <si>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</si>
  <si>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</si>
  <si>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</si>
  <si>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</si>
  <si>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</si>
  <si>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</si>
  <si>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</si>
  <si>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</si>
  <si>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</si>
  <si>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</si>
  <si>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</si>
  <si>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</si>
  <si>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</si>
  <si>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</si>
  <si>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</si>
  <si>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</si>
  <si>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</si>
  <si>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</si>
  <si>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</si>
  <si>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</si>
  <si>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</si>
  <si>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</si>
  <si>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</si>
  <si>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</si>
  <si>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</si>
  <si>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</si>
  <si>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</si>
  <si>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</si>
  <si>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</si>
  <si>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</si>
  <si>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</si>
  <si>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</si>
  <si>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</si>
  <si>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</si>
  <si>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</si>
  <si>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</si>
  <si>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</si>
  <si>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</si>
  <si>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</si>
  <si>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</si>
  <si>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</si>
  <si>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</si>
  <si>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</si>
  <si>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</si>
  <si>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</si>
  <si>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</si>
  <si>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</si>
  <si>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</si>
  <si>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</si>
  <si>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</si>
  <si>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</si>
  <si>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</si>
  <si>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</si>
  <si>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</si>
  <si>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</si>
  <si>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</si>
  <si>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</si>
  <si>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</si>
  <si>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</si>
  <si>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</si>
  <si>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</si>
  <si>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</si>
  <si>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</si>
  <si>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</si>
  <si>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</si>
  <si>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</si>
  <si>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</si>
  <si>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</si>
  <si>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</si>
  <si>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</si>
  <si>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</si>
  <si>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</si>
  <si>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</si>
  <si>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</si>
  <si>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</si>
  <si>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</si>
  <si>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</si>
  <si>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</si>
  <si>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</si>
  <si>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</si>
  <si>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</si>
  <si>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</si>
  <si>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</si>
  <si>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</si>
  <si>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</si>
  <si>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</si>
  <si>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</si>
  <si>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</si>
  <si>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</si>
  <si>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</si>
  <si>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</si>
  <si>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</si>
  <si>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</si>
  <si>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</si>
  <si>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</si>
  <si>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</si>
  <si>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</si>
  <si>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</si>
  <si>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</si>
  <si>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</si>
  <si>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</si>
  <si>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</si>
  <si>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</si>
  <si>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</si>
  <si>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</si>
  <si>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</si>
  <si>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</si>
  <si>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</si>
  <si>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</si>
  <si>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</si>
  <si>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</si>
  <si>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</si>
  <si>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</si>
  <si>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</si>
  <si>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</si>
  <si>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</si>
  <si>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</si>
  <si>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</si>
  <si>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</si>
  <si>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</si>
  <si>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</si>
  <si>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</si>
  <si>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</si>
  <si>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</si>
  <si>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</si>
  <si>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</si>
  <si>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</si>
  <si>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</si>
  <si>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</si>
  <si>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</si>
  <si>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</si>
  <si>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</si>
  <si>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</si>
  <si>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</si>
  <si>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</si>
  <si>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</si>
  <si>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</si>
  <si>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</si>
  <si>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</si>
  <si>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</si>
  <si>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</si>
  <si>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</si>
  <si>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</si>
  <si>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</si>
  <si>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</si>
  <si>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</si>
  <si>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</si>
  <si>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</si>
  <si>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</si>
  <si>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</si>
  <si>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</si>
  <si>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</si>
  <si>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</si>
  <si>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</si>
  <si>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</si>
  <si>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</si>
  <si>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</si>
  <si>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</si>
  <si>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</si>
  <si>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</si>
  <si>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</si>
  <si>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</si>
  <si>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</si>
  <si>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</si>
  <si>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</si>
  <si>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</si>
  <si>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</si>
  <si>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</si>
  <si>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</si>
  <si>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</si>
  <si>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</si>
  <si>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</si>
  <si>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</si>
  <si>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</si>
  <si>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</si>
  <si>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</si>
  <si>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</si>
  <si>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</si>
  <si>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</si>
  <si>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</si>
  <si>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</si>
  <si>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</si>
  <si>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</si>
  <si>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</si>
  <si>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</si>
  <si>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</si>
  <si>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</si>
  <si>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</si>
  <si>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</si>
  <si>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</si>
  <si>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</si>
  <si>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</si>
  <si>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</si>
  <si>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</si>
  <si>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</si>
  <si>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</si>
  <si>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</si>
  <si>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</si>
  <si>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</si>
  <si>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</si>
  <si>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</si>
  <si>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</si>
  <si>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</si>
  <si>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</si>
  <si>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</si>
  <si>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</si>
  <si>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</si>
  <si>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</si>
  <si>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</si>
  <si>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</si>
  <si>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</si>
  <si>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</si>
  <si>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</si>
  <si>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</si>
  <si>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</si>
  <si>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</si>
  <si>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</si>
  <si>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</si>
  <si>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</si>
  <si>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</si>
  <si>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</si>
  <si>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</si>
  <si>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</si>
  <si>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</si>
  <si>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</si>
  <si>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</si>
  <si>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</si>
  <si>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</si>
  <si>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</si>
  <si>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</si>
  <si>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</si>
  <si>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</si>
  <si>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</si>
  <si>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</si>
  <si>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</si>
  <si>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</si>
  <si>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</si>
  <si>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</si>
  <si>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</si>
  <si>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</si>
  <si>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</si>
  <si>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</si>
  <si>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</si>
  <si>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</si>
  <si>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</si>
  <si>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</si>
  <si>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</si>
  <si>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</si>
  <si>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</si>
  <si>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</si>
  <si>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</si>
  <si>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</si>
  <si>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</si>
  <si>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</si>
  <si>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</si>
  <si>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</si>
  <si>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</si>
  <si>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</si>
  <si>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</si>
  <si>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</si>
  <si>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</si>
  <si>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</si>
  <si>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</si>
  <si>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</si>
  <si>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</si>
  <si>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</si>
  <si>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</si>
  <si>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</si>
  <si>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</si>
  <si>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</si>
  <si>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</si>
  <si>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</si>
  <si>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</si>
  <si>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</si>
  <si>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</si>
  <si>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</si>
  <si>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</si>
  <si>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</si>
  <si>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</si>
  <si>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</si>
  <si>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</si>
  <si>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</si>
  <si>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</si>
  <si>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</si>
  <si>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</si>
  <si>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</si>
  <si>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</si>
  <si>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</si>
  <si>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</si>
  <si>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</si>
  <si>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</si>
  <si>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</si>
  <si>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</si>
  <si>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</si>
  <si>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</si>
  <si>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</si>
  <si>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</si>
  <si>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</si>
  <si>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</si>
  <si>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</si>
  <si>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</si>
  <si>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</si>
  <si>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</si>
  <si>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</si>
  <si>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</si>
  <si>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</si>
  <si>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</si>
  <si>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</si>
  <si>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</si>
  <si>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</si>
  <si>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</si>
  <si>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</si>
  <si>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</si>
  <si>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</si>
  <si>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</si>
  <si>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</si>
  <si>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</si>
  <si>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</si>
  <si>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</si>
  <si>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</si>
  <si>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</si>
  <si>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</si>
  <si>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</si>
  <si>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</si>
  <si>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</si>
  <si>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</si>
  <si>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</si>
  <si>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</si>
  <si>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</si>
  <si>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</si>
  <si>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</si>
  <si>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</si>
  <si>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</si>
  <si>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</si>
  <si>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</si>
  <si>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</si>
  <si>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</si>
  <si>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</si>
  <si>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</si>
  <si>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</si>
  <si>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</si>
  <si>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</si>
  <si>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</si>
  <si>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</si>
  <si>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</si>
  <si>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</si>
  <si>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</si>
  <si>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</si>
  <si>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</si>
  <si>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</si>
  <si>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</si>
  <si>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</si>
  <si>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</si>
  <si>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</si>
  <si>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</si>
  <si>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</si>
  <si>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</si>
  <si>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</si>
  <si>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</si>
  <si>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</si>
  <si>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</si>
  <si>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</si>
  <si>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</si>
  <si>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</si>
  <si>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</si>
  <si>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</si>
  <si>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</si>
  <si>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</si>
  <si>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</si>
  <si>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</si>
  <si>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</si>
  <si>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</si>
  <si>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</si>
  <si>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</si>
  <si>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</si>
  <si>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</si>
  <si>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</si>
  <si>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</si>
  <si>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</si>
  <si>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</si>
  <si>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</si>
  <si>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</si>
  <si>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</si>
  <si>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</si>
  <si>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</si>
  <si>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</si>
  <si>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</si>
  <si>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</si>
  <si>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</si>
  <si>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</si>
  <si>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</si>
  <si>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</si>
  <si>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</si>
  <si>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</si>
  <si>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</si>
  <si>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</si>
  <si>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</si>
  <si>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</si>
  <si>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</si>
  <si>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</si>
  <si>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</si>
  <si>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</si>
  <si>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</si>
  <si>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</si>
  <si>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</si>
  <si>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</si>
  <si>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</si>
  <si>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</si>
  <si>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</si>
  <si>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</si>
  <si>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</si>
  <si>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</si>
  <si>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</si>
  <si>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</si>
  <si>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</si>
  <si>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</si>
  <si>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</si>
  <si>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</si>
  <si>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</si>
  <si>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</si>
  <si>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</si>
  <si>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</si>
  <si>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</si>
  <si>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</si>
  <si>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</si>
  <si>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</si>
  <si>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</si>
  <si>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</si>
  <si>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</si>
  <si>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</si>
  <si>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</si>
  <si>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</si>
  <si>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</si>
  <si>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</si>
  <si>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</si>
  <si>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</si>
  <si>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</si>
  <si>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</si>
  <si>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</si>
  <si>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</si>
  <si>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</si>
  <si>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</si>
  <si>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</si>
  <si>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</si>
  <si>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</si>
  <si>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</si>
  <si>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</si>
  <si>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</si>
  <si>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</si>
  <si>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</si>
  <si>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</si>
  <si>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</si>
  <si>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</si>
  <si>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</si>
  <si>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</si>
  <si>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</si>
  <si>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</si>
  <si>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</si>
  <si>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</si>
  <si>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</si>
  <si>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</si>
  <si>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</si>
  <si>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</si>
  <si>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</si>
  <si>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</si>
  <si>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</si>
  <si>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</si>
  <si>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</si>
  <si>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</si>
  <si>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</si>
  <si>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</si>
  <si>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</si>
  <si>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</si>
  <si>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</si>
  <si>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</si>
  <si>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</si>
  <si>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</si>
  <si>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</si>
  <si>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</si>
  <si>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</si>
  <si>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</si>
  <si>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</si>
  <si>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</si>
  <si>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</si>
  <si>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</si>
  <si>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</si>
  <si>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</si>
  <si>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</si>
  <si>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</si>
  <si>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</si>
  <si>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</si>
  <si>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</si>
  <si>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</si>
  <si>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</si>
  <si>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</si>
  <si>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</si>
  <si>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</si>
  <si>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</si>
  <si>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</si>
  <si>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</si>
  <si>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</si>
  <si>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</si>
  <si>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</si>
  <si>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</si>
  <si>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</si>
  <si>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</si>
  <si>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</si>
  <si>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</si>
  <si>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</si>
  <si>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</si>
  <si>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</si>
  <si>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</si>
  <si>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</si>
  <si>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</si>
  <si>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</si>
  <si>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</si>
  <si>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</si>
  <si>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</si>
  <si>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</si>
  <si>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</si>
  <si>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</si>
  <si>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</si>
  <si>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</si>
  <si>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</si>
  <si>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</si>
  <si>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</si>
  <si>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</si>
  <si>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</si>
  <si>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</si>
  <si>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</si>
  <si>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</si>
  <si>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</si>
  <si>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</si>
  <si>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</si>
  <si>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</si>
  <si>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</si>
  <si>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</si>
  <si>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</si>
  <si>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</si>
  <si>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</si>
  <si>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</si>
  <si>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</si>
  <si>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</si>
  <si>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</si>
  <si>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</si>
  <si>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</si>
  <si>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</si>
  <si>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</si>
  <si>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</si>
  <si>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</si>
  <si>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</si>
  <si>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</si>
  <si>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</si>
  <si>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</si>
  <si>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</si>
  <si>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</si>
  <si>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</si>
  <si>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</si>
  <si>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</si>
  <si>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</si>
  <si>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</si>
  <si>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</si>
  <si>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</si>
  <si>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</si>
  <si>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</si>
  <si>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</si>
  <si>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</si>
  <si>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</si>
  <si>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</si>
  <si>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</si>
  <si>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</si>
  <si>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</si>
  <si>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</si>
  <si>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</si>
  <si>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</si>
  <si>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</si>
  <si>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</si>
  <si>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</si>
  <si>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</si>
  <si>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</si>
  <si>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</si>
  <si>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</si>
  <si>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</si>
  <si>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</si>
  <si>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</si>
  <si>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</si>
  <si>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</si>
  <si>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</si>
  <si>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</si>
  <si>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</si>
  <si>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</si>
  <si>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</si>
  <si>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</si>
  <si>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</si>
  <si>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</si>
  <si>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</si>
  <si>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</si>
  <si>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</si>
  <si>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</si>
  <si>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</si>
  <si>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</si>
  <si>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</si>
  <si>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</si>
  <si>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</si>
  <si>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</si>
  <si>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</si>
  <si>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</si>
  <si>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</si>
  <si>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</si>
  <si>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</si>
  <si>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</si>
  <si>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</si>
  <si>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</si>
  <si>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</si>
  <si>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</si>
  <si>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</si>
  <si>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</si>
  <si>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</si>
  <si>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</si>
  <si>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</si>
  <si>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</si>
  <si>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</si>
  <si>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</si>
  <si>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</si>
  <si>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</si>
  <si>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</si>
  <si>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</si>
  <si>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</si>
  <si>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</si>
  <si>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</si>
  <si>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</si>
  <si>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</si>
  <si>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</si>
  <si>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</si>
  <si>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</si>
  <si>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</si>
  <si>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</si>
  <si>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</si>
  <si>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</si>
  <si>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</si>
  <si>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</si>
  <si>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</si>
  <si>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</si>
  <si>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</si>
  <si>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</si>
  <si>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</si>
  <si>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</si>
  <si>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</si>
  <si>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</si>
  <si>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</si>
  <si>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</si>
  <si>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</si>
  <si>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</si>
  <si>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</si>
  <si>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</si>
  <si>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</si>
  <si>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</si>
  <si>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</si>
  <si>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</si>
  <si>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</si>
  <si>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</si>
  <si>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</si>
  <si>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</si>
  <si>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</si>
  <si>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</si>
  <si>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</si>
  <si>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</si>
  <si>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</si>
  <si>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</si>
  <si>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</si>
  <si>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</si>
  <si>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</si>
  <si>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</si>
  <si>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</si>
  <si>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</si>
  <si>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</si>
  <si>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</si>
  <si>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</si>
  <si>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</si>
  <si>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</si>
  <si>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</si>
  <si>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</si>
  <si>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</si>
  <si>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</si>
  <si>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</si>
  <si>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</si>
  <si>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</si>
  <si>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</si>
  <si>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</si>
  <si>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</si>
  <si>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</si>
  <si>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</si>
  <si>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</si>
  <si>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</si>
  <si>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</si>
  <si>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</si>
  <si>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</si>
  <si>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</si>
  <si>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</si>
  <si>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</si>
  <si>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</si>
  <si>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</si>
  <si>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</si>
  <si>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</si>
  <si>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</si>
  <si>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</si>
  <si>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</si>
  <si>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</si>
  <si>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</si>
  <si>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</si>
  <si>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</si>
  <si>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</si>
  <si>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</si>
  <si>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</si>
  <si>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</si>
  <si>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</si>
  <si>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</si>
  <si>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</si>
  <si>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</si>
  <si>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</si>
  <si>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</si>
  <si>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</si>
  <si>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</si>
  <si>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</si>
  <si>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</si>
  <si>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</si>
  <si>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</si>
  <si>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</si>
  <si>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</si>
  <si>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</si>
  <si>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</si>
  <si>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</si>
  <si>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</si>
  <si>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</si>
  <si>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</si>
  <si>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</si>
  <si>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</si>
  <si>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</si>
  <si>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</si>
  <si>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</si>
  <si>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</si>
  <si>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</si>
  <si>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</si>
  <si>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</si>
  <si>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</si>
  <si>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</si>
  <si>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</si>
  <si>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</si>
  <si>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</si>
  <si>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</si>
  <si>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</si>
  <si>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</si>
  <si>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</si>
  <si>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</si>
  <si>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</si>
  <si>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</si>
  <si>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</si>
  <si>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</si>
  <si>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</si>
  <si>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</si>
  <si>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</si>
  <si>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</si>
  <si>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</si>
  <si>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</si>
  <si>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</si>
  <si>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</si>
  <si>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</si>
  <si>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</si>
  <si>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</si>
  <si>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</si>
  <si>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</si>
  <si>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</si>
  <si>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</si>
  <si>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</si>
  <si>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</si>
  <si>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</si>
  <si>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</si>
  <si>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</si>
  <si>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</si>
  <si>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</si>
  <si>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</si>
  <si>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</si>
  <si>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</si>
  <si>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</si>
  <si>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</si>
  <si>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</si>
  <si>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</si>
  <si>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</si>
  <si>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</si>
  <si>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</si>
  <si>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</si>
  <si>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</si>
  <si>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</si>
  <si>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</si>
  <si>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</si>
  <si>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</si>
  <si>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</si>
  <si>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</si>
  <si>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</si>
  <si>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</si>
  <si>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</si>
  <si>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</si>
  <si>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</si>
  <si>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</si>
  <si>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</si>
  <si>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</si>
  <si>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</si>
  <si>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</si>
  <si>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</si>
  <si>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</si>
  <si>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</si>
  <si>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</si>
  <si>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</si>
  <si>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</si>
  <si>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</si>
  <si>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</si>
  <si>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</si>
  <si>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</si>
  <si>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</si>
  <si>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</si>
  <si>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</si>
  <si>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</si>
  <si>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</si>
  <si>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</si>
  <si>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</si>
  <si>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</si>
  <si>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</si>
  <si>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</si>
  <si>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</si>
  <si>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</si>
  <si>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</si>
  <si>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</si>
  <si>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</si>
  <si>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</si>
  <si>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</si>
  <si>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</si>
  <si>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</si>
  <si>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</si>
  <si>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</si>
  <si>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</si>
  <si>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</si>
  <si>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</si>
  <si>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</si>
  <si>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</si>
  <si>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</si>
  <si>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</si>
  <si>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</si>
  <si>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</si>
  <si>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</si>
  <si>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</si>
  <si>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</si>
  <si>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</si>
  <si>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</si>
  <si>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</si>
  <si>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</si>
  <si>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</si>
  <si>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</si>
  <si>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</si>
  <si>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</si>
  <si>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</si>
  <si>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</si>
  <si>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</si>
  <si>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</si>
  <si>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</si>
  <si>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</si>
  <si>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</si>
  <si>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</si>
  <si>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</si>
  <si>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</si>
  <si>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</si>
  <si>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</si>
  <si>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</si>
  <si>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</si>
  <si>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</si>
  <si>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</si>
  <si>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</si>
  <si>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</si>
  <si>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</si>
  <si>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</si>
  <si>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</si>
  <si>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</si>
  <si>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</si>
  <si>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</si>
  <si>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</si>
  <si>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</si>
  <si>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</si>
  <si>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</si>
  <si>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</si>
  <si>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</si>
  <si>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</si>
  <si>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</si>
  <si>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</si>
  <si>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</si>
  <si>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</si>
  <si>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</si>
  <si>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</si>
  <si>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</si>
  <si>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</si>
  <si>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</si>
  <si>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</si>
  <si>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</si>
  <si>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</si>
  <si>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</si>
  <si>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</si>
  <si>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</si>
  <si>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</si>
  <si>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</si>
  <si>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</si>
  <si>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</si>
  <si>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</si>
  <si>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</si>
  <si>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</si>
  <si>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</si>
  <si>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</si>
  <si>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</si>
  <si>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</si>
  <si>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</si>
  <si>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</si>
  <si>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</si>
  <si>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</si>
  <si>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</si>
  <si>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</si>
  <si>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</si>
  <si>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</si>
  <si>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</si>
  <si>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</si>
  <si>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</si>
  <si>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</si>
  <si>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</si>
  <si>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</si>
  <si>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</si>
  <si>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</si>
  <si>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</si>
  <si>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</si>
  <si>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</si>
  <si>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</si>
  <si>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</si>
  <si>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</si>
  <si>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</si>
  <si>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</si>
  <si>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</si>
  <si>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</si>
  <si>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</si>
  <si>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</si>
  <si>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</si>
  <si>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</si>
  <si>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</si>
  <si>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</si>
  <si>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</si>
  <si>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</si>
  <si>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</si>
  <si>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</si>
  <si>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</si>
  <si>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</si>
  <si>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</si>
  <si>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</si>
  <si>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</si>
  <si>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</si>
  <si>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</si>
  <si>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</si>
  <si>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</si>
  <si>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</si>
  <si>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</si>
  <si>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</si>
  <si>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</si>
  <si>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</si>
  <si>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</si>
  <si>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</si>
  <si>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</si>
  <si>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</si>
  <si>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</si>
  <si>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</si>
  <si>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</si>
  <si>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</si>
  <si>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</si>
  <si>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</si>
  <si>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</si>
  <si>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</si>
  <si>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</si>
  <si>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</si>
  <si>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</si>
  <si>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</si>
  <si>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</si>
  <si>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</si>
  <si>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</si>
  <si>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</si>
  <si>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</si>
  <si>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</si>
  <si>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</si>
  <si>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</si>
  <si>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</si>
  <si>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</si>
  <si>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</si>
  <si>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</si>
  <si>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</si>
  <si>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</si>
  <si>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</si>
  <si>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</si>
  <si>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</si>
  <si>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</si>
  <si>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</si>
  <si>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</si>
  <si>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</si>
  <si>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</si>
  <si>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</si>
  <si>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</si>
  <si>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</si>
  <si>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</si>
  <si>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</si>
  <si>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</si>
  <si>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</si>
  <si>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</si>
  <si>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</si>
  <si>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</si>
  <si>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</si>
  <si>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</si>
  <si>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</si>
  <si>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</si>
  <si>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</si>
  <si>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</si>
  <si>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</si>
  <si>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</si>
  <si>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</si>
  <si>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</si>
  <si>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</si>
  <si>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</si>
  <si>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</si>
  <si>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</si>
  <si>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</si>
  <si>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</si>
  <si>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</si>
  <si>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</si>
  <si>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</si>
  <si>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</si>
  <si>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</si>
  <si>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</si>
  <si>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</si>
  <si>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</si>
  <si>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</si>
  <si>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</si>
  <si>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</si>
  <si>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</si>
  <si>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</si>
  <si>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</si>
  <si>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</si>
  <si>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</si>
  <si>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</si>
  <si>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</si>
  <si>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</si>
  <si>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</si>
  <si>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</si>
  <si>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</si>
  <si>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</si>
  <si>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</si>
  <si>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</si>
  <si>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</si>
  <si>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</si>
  <si>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</si>
  <si>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</si>
  <si>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</si>
  <si>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</si>
  <si>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</si>
  <si>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</si>
  <si>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</si>
  <si>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</si>
  <si>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</si>
  <si>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</si>
  <si>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</si>
  <si>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</si>
  <si>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</si>
  <si>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</si>
  <si>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</si>
  <si>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</si>
  <si>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</si>
  <si>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</si>
  <si>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</si>
  <si>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</si>
  <si>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</si>
  <si>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</si>
  <si>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</si>
  <si>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</si>
  <si>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</si>
  <si>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</si>
  <si>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</si>
  <si>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</si>
  <si>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</si>
  <si>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</si>
  <si>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</si>
  <si>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</si>
  <si>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</si>
  <si>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</si>
  <si>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</si>
  <si>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</si>
  <si>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</si>
  <si>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</si>
  <si>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</si>
  <si>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</si>
  <si>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</si>
  <si>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</si>
  <si>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</si>
  <si>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</si>
  <si>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</si>
  <si>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</si>
  <si>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</si>
  <si>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</si>
  <si>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</si>
  <si>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</si>
  <si>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</si>
  <si>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</si>
  <si>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</si>
  <si>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</si>
  <si>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</si>
  <si>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</si>
  <si>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</si>
  <si>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</si>
  <si>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</si>
  <si>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</si>
  <si>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</si>
  <si>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</si>
  <si>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</si>
  <si>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</si>
  <si>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</si>
  <si>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</si>
  <si>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</si>
  <si>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</si>
  <si>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</si>
  <si>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</si>
  <si>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</si>
  <si>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</si>
  <si>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</si>
  <si>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</si>
  <si>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</si>
  <si>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</si>
  <si>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</si>
  <si>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</si>
  <si>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</si>
  <si>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</si>
  <si>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</si>
  <si>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</si>
  <si>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</si>
  <si>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</si>
  <si>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</si>
  <si>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</si>
  <si>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</si>
  <si>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</si>
  <si>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</si>
  <si>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</si>
  <si>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</si>
  <si>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</si>
  <si>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</si>
  <si>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</si>
  <si>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</si>
  <si>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</si>
  <si>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</si>
  <si>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</si>
  <si>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</si>
  <si>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</si>
  <si>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</si>
  <si>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</si>
  <si>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</si>
  <si>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</si>
  <si>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</si>
  <si>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</si>
  <si>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</si>
  <si>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</si>
  <si>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</si>
  <si>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</si>
  <si>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</si>
  <si>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</si>
  <si>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</si>
  <si>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</si>
  <si>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</si>
  <si>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</si>
  <si>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</si>
  <si>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</si>
  <si>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</si>
  <si>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</si>
  <si>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</si>
  <si>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</si>
  <si>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</si>
  <si>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</si>
  <si>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</si>
  <si>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</si>
  <si>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</si>
  <si>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</si>
  <si>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</si>
  <si>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</si>
  <si>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</si>
  <si>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</si>
  <si>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</si>
  <si>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</si>
  <si>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</si>
  <si>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</si>
  <si>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</si>
  <si>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</si>
  <si>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</si>
  <si>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</si>
  <si>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</si>
  <si>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</si>
  <si>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</si>
  <si>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</si>
  <si>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</si>
  <si>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</si>
  <si>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</si>
  <si>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</si>
  <si>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</si>
  <si>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</si>
  <si>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</si>
  <si>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</si>
  <si>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</si>
  <si>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</si>
  <si>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</si>
  <si>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</si>
  <si>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</si>
  <si>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</si>
  <si>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</si>
  <si>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</si>
  <si>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</si>
  <si>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</si>
  <si>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</si>
  <si>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</si>
  <si>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</si>
  <si>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</si>
  <si>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</si>
  <si>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</si>
  <si>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</si>
  <si>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</si>
  <si>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</si>
  <si>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</si>
  <si>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</si>
  <si>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</si>
  <si>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</si>
  <si>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</si>
  <si>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</si>
  <si>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</si>
  <si>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</si>
  <si>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</si>
  <si>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</si>
  <si>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</si>
  <si>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</si>
  <si>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</si>
  <si>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</si>
  <si>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</si>
  <si>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</si>
  <si>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</si>
  <si>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</si>
  <si>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</si>
  <si>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</si>
  <si>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</si>
  <si>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</si>
  <si>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</si>
  <si>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</si>
  <si>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</si>
  <si>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</si>
  <si>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</si>
  <si>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</si>
  <si>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</si>
  <si>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</si>
  <si>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</si>
  <si>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</si>
  <si>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</si>
  <si>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</si>
  <si>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</si>
  <si>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</si>
  <si>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</si>
  <si>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</si>
  <si>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</si>
  <si>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</si>
  <si>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</si>
  <si>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</si>
  <si>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</si>
  <si>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</si>
  <si>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</si>
  <si>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</si>
  <si>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</si>
  <si>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</si>
  <si>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</si>
  <si>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</si>
  <si>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</si>
  <si>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</si>
  <si>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</si>
  <si>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</si>
  <si>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</si>
  <si>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</si>
  <si>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</si>
  <si>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</si>
  <si>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</si>
  <si>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</si>
  <si>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</si>
  <si>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</si>
  <si>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</si>
  <si>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</si>
  <si>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</si>
  <si>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</si>
  <si>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</si>
  <si>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</si>
  <si>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</si>
  <si>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</si>
  <si>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</si>
  <si>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</si>
  <si>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</si>
  <si>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</si>
  <si>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</si>
  <si>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</si>
  <si>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</si>
  <si>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</si>
  <si>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</si>
  <si>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</si>
  <si>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</si>
  <si>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</si>
  <si>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</si>
  <si>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</si>
  <si>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</si>
  <si>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</si>
  <si>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</si>
  <si>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</si>
  <si>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</si>
  <si>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</si>
  <si>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</si>
  <si>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</si>
  <si>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</si>
  <si>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</si>
  <si>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</si>
  <si>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</si>
  <si>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</si>
  <si>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</si>
  <si>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</si>
  <si>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</si>
  <si>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</si>
  <si>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</si>
  <si>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</si>
  <si>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</si>
  <si>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</si>
  <si>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</si>
  <si>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</si>
  <si>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</si>
  <si>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</si>
  <si>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</si>
  <si>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</si>
  <si>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</si>
  <si>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</si>
  <si>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</si>
  <si>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</si>
  <si>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</si>
  <si>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</si>
  <si>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</si>
  <si>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</si>
  <si>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</si>
  <si>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</si>
  <si>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</si>
  <si>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</si>
  <si>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</si>
  <si>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</si>
  <si>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</si>
  <si>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</si>
  <si>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</si>
  <si>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</si>
  <si>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</si>
  <si>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</si>
  <si>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</si>
  <si>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</si>
  <si>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</si>
  <si>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</si>
  <si>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</si>
  <si>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</si>
  <si>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</si>
  <si>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</si>
  <si>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</si>
  <si>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</si>
  <si>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</si>
  <si>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</si>
  <si>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</si>
  <si>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</si>
  <si>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</si>
  <si>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</si>
  <si>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</si>
  <si>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</si>
  <si>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</si>
  <si>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</si>
  <si>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</si>
  <si>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</si>
  <si>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</si>
  <si>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</si>
  <si>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</si>
  <si>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</si>
  <si>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</si>
  <si>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</si>
  <si>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</si>
  <si>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</si>
  <si>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</si>
  <si>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</si>
  <si>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</si>
  <si>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</si>
  <si>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</si>
  <si>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</si>
  <si>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</si>
  <si>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</si>
  <si>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</si>
  <si>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</si>
  <si>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</si>
  <si>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</si>
  <si>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</si>
  <si>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</si>
  <si>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</si>
  <si>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</si>
  <si>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</si>
  <si>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</si>
  <si>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</si>
  <si>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</si>
  <si>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</si>
  <si>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</si>
  <si>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</si>
  <si>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</si>
  <si>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</si>
  <si>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</si>
  <si>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</si>
  <si>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</si>
  <si>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</si>
  <si>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</si>
  <si>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</si>
  <si>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</si>
  <si>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</si>
  <si>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</si>
  <si>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</si>
  <si>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</si>
  <si>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</si>
  <si>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</si>
  <si>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</si>
  <si>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</si>
  <si>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</si>
  <si>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</si>
  <si>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</si>
  <si>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</si>
  <si>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</si>
  <si>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</si>
  <si>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</si>
  <si>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</si>
  <si>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</si>
  <si>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</si>
  <si>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</si>
  <si>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</si>
  <si>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</si>
  <si>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</si>
  <si>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</si>
  <si>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</si>
  <si>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</si>
  <si>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</si>
  <si>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</si>
  <si>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</si>
  <si>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</si>
  <si>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</si>
  <si>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</si>
  <si>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</si>
  <si>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</si>
  <si>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</si>
  <si>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</si>
  <si>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</si>
  <si>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</si>
  <si>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</si>
  <si>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</si>
  <si>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</si>
  <si>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</si>
  <si>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</si>
  <si>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</si>
  <si>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</si>
  <si>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</si>
  <si>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</si>
  <si>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</si>
  <si>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</si>
  <si>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</si>
  <si>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</si>
  <si>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</si>
  <si>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</si>
  <si>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</si>
  <si>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</si>
  <si>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</si>
  <si>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</si>
  <si>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</si>
  <si>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</si>
  <si>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</si>
  <si>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</si>
  <si>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</si>
  <si>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</si>
  <si>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</si>
  <si>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</si>
  <si>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</si>
  <si>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</si>
  <si>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</si>
  <si>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</si>
  <si>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</si>
  <si>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</si>
  <si>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</si>
  <si>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</si>
  <si>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</si>
  <si>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</si>
  <si>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</si>
  <si>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</si>
  <si>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</si>
  <si>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</si>
  <si>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</si>
  <si>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</si>
  <si>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</si>
  <si>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</si>
  <si>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</si>
  <si>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</si>
  <si>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</si>
  <si>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</si>
  <si>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</si>
  <si>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</si>
  <si>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</si>
  <si>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</si>
  <si>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</si>
  <si>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</si>
  <si>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</si>
  <si>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</si>
  <si>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</si>
  <si>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</si>
  <si>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</si>
  <si>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</si>
  <si>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</si>
  <si>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</si>
  <si>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</si>
  <si>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</si>
  <si>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</si>
  <si>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</si>
  <si>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</si>
  <si>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</si>
  <si>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</si>
  <si>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</si>
  <si>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</si>
  <si>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</si>
  <si>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</si>
  <si>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</si>
  <si>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</si>
  <si>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</si>
  <si>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</si>
  <si>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</si>
  <si>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</si>
  <si>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</si>
  <si>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</si>
  <si>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</si>
  <si>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</si>
  <si>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</si>
  <si>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</si>
  <si>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</si>
  <si>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</si>
  <si>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</si>
  <si>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</si>
  <si>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</si>
  <si>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</si>
  <si>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</si>
  <si>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</si>
  <si>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</si>
  <si>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</si>
  <si>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</si>
  <si>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</si>
  <si>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</si>
  <si>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</si>
  <si>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</si>
  <si>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</si>
  <si>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</si>
  <si>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</si>
  <si>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</si>
  <si>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</si>
  <si>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</si>
  <si>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</si>
  <si>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</si>
  <si>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</si>
  <si>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</si>
  <si>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</si>
  <si>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</si>
  <si>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</si>
  <si>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</si>
  <si>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</si>
  <si>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</si>
  <si>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</si>
  <si>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</si>
  <si>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</si>
  <si>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</si>
  <si>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</si>
  <si>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</si>
  <si>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</si>
  <si>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</si>
  <si>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</si>
  <si>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</si>
  <si>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</si>
  <si>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</si>
  <si>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</si>
  <si>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</si>
  <si>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</si>
  <si>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</si>
  <si>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</si>
  <si>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</si>
  <si>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</si>
  <si>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</si>
  <si>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</si>
  <si>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</si>
  <si>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</si>
  <si>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</si>
  <si>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</si>
  <si>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</si>
  <si>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</si>
  <si>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</si>
  <si>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</si>
  <si>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</si>
  <si>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</si>
  <si>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</si>
  <si>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</si>
  <si>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</si>
  <si>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</si>
  <si>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</si>
  <si>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</si>
  <si>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</si>
  <si>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</si>
  <si>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</si>
  <si>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</si>
  <si>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</si>
  <si>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</si>
  <si>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</si>
  <si>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</si>
  <si>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</si>
  <si>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</si>
  <si>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</si>
  <si>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</si>
  <si>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</si>
  <si>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</si>
  <si>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</si>
  <si>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</si>
  <si>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</si>
  <si>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</si>
  <si>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</si>
  <si>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</si>
  <si>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</si>
  <si>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</si>
  <si>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</si>
  <si>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</si>
  <si>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</si>
  <si>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</si>
  <si>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</si>
  <si>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</si>
  <si>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</si>
  <si>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</si>
  <si>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</si>
  <si>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</si>
  <si>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</si>
  <si>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</si>
  <si>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</si>
  <si>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</si>
  <si>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</si>
  <si>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</si>
  <si>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</si>
  <si>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</si>
  <si>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</si>
  <si>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</si>
  <si>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</si>
  <si>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</si>
  <si>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</si>
  <si>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</si>
  <si>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</si>
  <si>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</si>
  <si>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</si>
  <si>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</si>
  <si>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</si>
  <si>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</si>
  <si>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</si>
  <si>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</si>
  <si>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</si>
  <si>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</si>
  <si>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</si>
  <si>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</si>
  <si>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</si>
  <si>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</si>
  <si>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</si>
  <si>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</si>
  <si>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</si>
  <si>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</si>
  <si>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</si>
  <si>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</si>
  <si>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</si>
  <si>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</si>
  <si>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</si>
  <si>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</si>
  <si>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</si>
  <si>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</si>
  <si>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</si>
  <si>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</si>
  <si>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</si>
  <si>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</si>
  <si>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</si>
  <si>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</si>
  <si>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</si>
  <si>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</si>
  <si>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</si>
  <si>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</si>
  <si>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</si>
  <si>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</si>
  <si>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</si>
  <si>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</si>
  <si>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</si>
  <si>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</si>
  <si>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</si>
  <si>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</si>
  <si>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</si>
  <si>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</si>
  <si>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</si>
  <si>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</si>
  <si>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</si>
  <si>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</si>
  <si>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</si>
  <si>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</si>
  <si>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</si>
  <si>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</si>
  <si>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</si>
  <si>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</si>
  <si>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</si>
  <si>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</si>
  <si>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</si>
  <si>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</si>
  <si>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</si>
  <si>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</si>
  <si>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</si>
  <si>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</si>
  <si>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</si>
  <si>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</si>
  <si>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</si>
  <si>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</si>
  <si>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</si>
  <si>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</si>
  <si>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</si>
  <si>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</si>
  <si>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</si>
  <si>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</si>
  <si>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</si>
  <si>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</si>
  <si>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</si>
  <si>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</si>
  <si>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</si>
  <si>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</si>
  <si>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</si>
  <si>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</si>
  <si>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</si>
  <si>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</si>
  <si>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</si>
  <si>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</si>
  <si>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</si>
  <si>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</si>
  <si>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</si>
  <si>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</si>
  <si>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</si>
  <si>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</si>
  <si>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</si>
  <si>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</si>
  <si>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</si>
  <si>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</si>
  <si>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</si>
  <si>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</si>
  <si>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</si>
  <si>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</si>
  <si>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</si>
  <si>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</si>
  <si>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</si>
  <si>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</si>
  <si>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</si>
  <si>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</si>
  <si>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</si>
  <si>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</si>
  <si>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</si>
  <si>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</si>
  <si>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</si>
  <si>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</si>
  <si>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</si>
  <si>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</si>
  <si>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</si>
  <si>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</si>
  <si>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</si>
  <si>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</si>
  <si>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</si>
  <si>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</si>
  <si>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</si>
  <si>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</si>
  <si>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</si>
  <si>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</si>
  <si>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</si>
  <si>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</si>
  <si>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</si>
  <si>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</si>
  <si>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</si>
  <si>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</si>
  <si>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</si>
  <si>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</si>
  <si>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</si>
  <si>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</si>
  <si>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</si>
  <si>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</si>
  <si>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</si>
  <si>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</si>
  <si>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</si>
  <si>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</si>
  <si>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</si>
  <si>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</si>
  <si>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</si>
  <si>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</si>
  <si>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</si>
  <si>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</si>
  <si>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</si>
  <si>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</si>
  <si>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</si>
  <si>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</si>
  <si>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</si>
  <si>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</si>
  <si>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</si>
  <si>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</si>
  <si>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</si>
  <si>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</si>
  <si>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</si>
  <si>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</si>
  <si>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</si>
  <si>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</si>
  <si>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</si>
  <si>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</si>
  <si>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</si>
  <si>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</si>
  <si>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</si>
  <si>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</si>
  <si>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</si>
  <si>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</si>
  <si>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</si>
  <si>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</si>
  <si>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</si>
  <si>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</si>
  <si>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</si>
  <si>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</si>
  <si>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</si>
  <si>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</si>
  <si>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</si>
  <si>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</si>
  <si>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</si>
  <si>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</si>
  <si>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</si>
  <si>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</si>
  <si>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</si>
  <si>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</si>
  <si>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</si>
  <si>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</si>
  <si>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</si>
  <si>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</si>
  <si>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</si>
  <si>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</si>
  <si>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</si>
  <si>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</si>
  <si>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</si>
  <si>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</si>
  <si>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</si>
  <si>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</si>
  <si>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</si>
  <si>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</si>
  <si>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</si>
  <si>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</si>
  <si>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</si>
  <si>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</si>
  <si>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</si>
  <si>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</si>
  <si>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</si>
  <si>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</si>
  <si>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</si>
  <si>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</si>
  <si>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</si>
  <si>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</si>
  <si>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</si>
  <si>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</si>
  <si>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</si>
  <si>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</si>
  <si>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</si>
  <si>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</si>
  <si>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</si>
  <si>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</si>
  <si>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</si>
  <si>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</si>
  <si>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</si>
  <si>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</si>
  <si>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</si>
  <si>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</si>
  <si>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</si>
  <si>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</si>
  <si>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</si>
  <si>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</si>
  <si>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</si>
  <si>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</si>
  <si>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</si>
  <si>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</si>
  <si>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</si>
  <si>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</si>
  <si>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</si>
  <si>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</si>
  <si>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</si>
  <si>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</si>
  <si>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</si>
  <si>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</si>
  <si>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</si>
  <si>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</si>
  <si>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</si>
  <si>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</si>
  <si>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</si>
  <si>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</si>
  <si>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</si>
  <si>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</si>
  <si>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</si>
  <si>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</si>
  <si>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</si>
  <si>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</si>
  <si>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</si>
  <si>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</si>
  <si>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</si>
  <si>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</si>
  <si>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</si>
  <si>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</si>
  <si>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</si>
  <si>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</si>
  <si>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</si>
  <si>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</si>
  <si>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</si>
  <si>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</si>
  <si>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</si>
  <si>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</si>
  <si>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</si>
  <si>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</si>
  <si>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</si>
  <si>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</si>
  <si>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</si>
  <si>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</si>
  <si>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</si>
  <si>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</si>
  <si>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</si>
  <si>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</si>
  <si>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</si>
  <si>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</si>
  <si>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</si>
  <si>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</si>
  <si>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</si>
  <si>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</si>
  <si>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</si>
  <si>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</si>
  <si>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</si>
  <si>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</si>
  <si>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</si>
  <si>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</si>
  <si>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</si>
  <si>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</si>
  <si>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</si>
  <si>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</si>
  <si>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</si>
  <si>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</si>
  <si>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</si>
  <si>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</si>
  <si>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</si>
  <si>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</si>
  <si>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</si>
  <si>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</si>
  <si>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</si>
  <si>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</si>
  <si>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</si>
  <si>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</si>
  <si>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</si>
  <si>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</si>
  <si>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</si>
  <si>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</si>
  <si>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</si>
  <si>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</si>
  <si>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</si>
  <si>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</si>
  <si>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</si>
  <si>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</si>
  <si>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</si>
  <si>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</si>
  <si>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</si>
  <si>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</si>
  <si>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</si>
  <si>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</si>
  <si>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</si>
  <si>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</si>
  <si>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</si>
  <si>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</si>
  <si>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</si>
  <si>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</si>
  <si>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</si>
  <si>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</si>
  <si>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</si>
  <si>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</si>
  <si>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</si>
  <si>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</si>
  <si>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</si>
  <si>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</si>
  <si>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</si>
  <si>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</si>
  <si>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</si>
  <si>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</si>
  <si>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</si>
  <si>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</si>
  <si>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</si>
  <si>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</si>
  <si>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</si>
  <si>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</si>
  <si>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</si>
  <si>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</si>
  <si>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</si>
  <si>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</si>
  <si>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</si>
  <si>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</si>
  <si>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</si>
  <si>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</si>
  <si>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</si>
  <si>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</si>
  <si>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</si>
  <si>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</si>
  <si>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</si>
  <si>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</si>
  <si>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</si>
  <si>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</si>
  <si>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</si>
  <si>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</si>
  <si>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</si>
  <si>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</si>
  <si>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</si>
  <si>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</si>
  <si>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</si>
  <si>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</si>
  <si>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</si>
  <si>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</si>
  <si>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</si>
  <si>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</si>
  <si>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</si>
  <si>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</si>
  <si>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</si>
  <si>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</si>
  <si>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</si>
  <si>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</si>
  <si>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</si>
  <si>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</si>
  <si>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</si>
  <si>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</si>
  <si>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</si>
  <si>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</si>
  <si>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</si>
  <si>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</si>
  <si>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</si>
  <si>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</si>
  <si>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</si>
  <si>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</si>
  <si>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</si>
  <si>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</si>
  <si>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</si>
  <si>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</si>
  <si>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</si>
  <si>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</si>
  <si>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</si>
  <si>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</si>
  <si>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</si>
  <si>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</si>
  <si>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</si>
  <si>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</si>
  <si>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</si>
  <si>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</si>
  <si>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</si>
  <si>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</si>
  <si>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</si>
  <si>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</si>
  <si>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</si>
  <si>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</si>
  <si>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</si>
  <si>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</si>
  <si>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</si>
  <si>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</si>
  <si>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</si>
  <si>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</si>
  <si>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</si>
  <si>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</si>
  <si>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</si>
  <si>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</si>
  <si>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</si>
  <si>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</si>
  <si>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</si>
  <si>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</si>
  <si>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</si>
  <si>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</si>
  <si>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</si>
  <si>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</si>
  <si>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</si>
  <si>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</si>
  <si>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</si>
  <si>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</si>
  <si>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</si>
  <si>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</si>
  <si>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</si>
  <si>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</si>
  <si>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</si>
  <si>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</si>
  <si>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</si>
  <si>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</si>
  <si>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</si>
  <si>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</si>
  <si>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</si>
  <si>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</si>
  <si>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</si>
  <si>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</si>
  <si>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</si>
  <si>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</si>
  <si>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</si>
  <si>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</si>
  <si>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</si>
  <si>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</si>
  <si>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</si>
  <si>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</si>
  <si>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</si>
  <si>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</si>
  <si>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</si>
  <si>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</si>
  <si>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</si>
  <si>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</si>
  <si>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</si>
  <si>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</si>
  <si>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</si>
  <si>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</si>
  <si>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</si>
  <si>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</si>
  <si>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</si>
  <si>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</si>
  <si>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</si>
  <si>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</si>
  <si>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</si>
  <si>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</si>
  <si>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</si>
  <si>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</si>
  <si>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</si>
  <si>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</si>
  <si>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</si>
  <si>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</si>
  <si>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</si>
  <si>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</si>
  <si>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</si>
  <si>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</si>
  <si>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</si>
  <si>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</si>
  <si>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</si>
  <si>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</si>
  <si>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</si>
  <si>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</si>
  <si>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</si>
  <si>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</si>
  <si>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</si>
  <si>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</si>
  <si>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</si>
  <si>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</si>
  <si>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</si>
  <si>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</si>
  <si>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</si>
  <si>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</si>
  <si>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</si>
  <si>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</si>
  <si>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</si>
  <si>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</si>
  <si>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</si>
  <si>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</si>
  <si>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</si>
  <si>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</si>
  <si>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</si>
  <si>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</si>
  <si>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</si>
  <si>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</si>
  <si>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</si>
  <si>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</si>
  <si>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</si>
  <si>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</si>
  <si>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</si>
  <si>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</si>
  <si>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</si>
  <si>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</si>
  <si>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</si>
  <si>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</si>
  <si>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</si>
  <si>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</si>
  <si>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</si>
  <si>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</si>
  <si>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</si>
  <si>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</si>
  <si>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</si>
  <si>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</si>
  <si>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</si>
  <si>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</si>
  <si>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</si>
  <si>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</si>
  <si>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</si>
  <si>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</si>
  <si>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</si>
  <si>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</si>
  <si>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</si>
  <si>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</si>
  <si>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</si>
  <si>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</si>
  <si>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</si>
  <si>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</si>
  <si>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</si>
  <si>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</si>
  <si>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</si>
  <si>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</si>
  <si>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</si>
  <si>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</si>
  <si>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</si>
  <si>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</si>
  <si>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</si>
  <si>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</si>
  <si>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</si>
  <si>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</si>
  <si>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</si>
  <si>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</si>
  <si>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</si>
  <si>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</si>
  <si>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</si>
  <si>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</si>
  <si>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</si>
  <si>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</si>
  <si>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</si>
  <si>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</si>
  <si>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</si>
  <si>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</si>
  <si>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</si>
  <si>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</si>
  <si>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</si>
  <si>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</si>
  <si>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</si>
  <si>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</si>
  <si>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</si>
  <si>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</si>
  <si>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</si>
  <si>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</si>
  <si>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</si>
  <si>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</si>
  <si>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</si>
  <si>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</si>
  <si>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</si>
  <si>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</si>
  <si>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</si>
  <si>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</si>
  <si>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</si>
  <si>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</si>
  <si>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</si>
  <si>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</si>
  <si>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</si>
  <si>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</si>
  <si>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</si>
  <si>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</si>
  <si>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</si>
  <si>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</si>
  <si>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</si>
  <si>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</si>
  <si>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</si>
  <si>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</si>
  <si>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</si>
  <si>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</si>
  <si>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</si>
  <si>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</si>
  <si>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</si>
  <si>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</si>
  <si>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</si>
  <si>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</si>
  <si>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</si>
  <si>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</si>
  <si>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</si>
  <si>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</si>
  <si>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</si>
  <si>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</si>
  <si>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</si>
  <si>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</si>
  <si>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</si>
  <si>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</si>
  <si>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</si>
  <si>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</si>
  <si>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</si>
  <si>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</si>
  <si>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</si>
  <si>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</si>
  <si>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</si>
  <si>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</si>
  <si>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</si>
  <si>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</si>
  <si>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</si>
  <si>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</si>
  <si>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</si>
  <si>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</si>
  <si>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</si>
  <si>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</si>
  <si>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</si>
  <si>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</si>
  <si>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</si>
  <si>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</si>
  <si>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</si>
  <si>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</si>
  <si>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</si>
  <si>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</si>
  <si>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</si>
  <si>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</si>
  <si>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</si>
  <si>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</si>
  <si>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</si>
  <si>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</si>
  <si>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</si>
  <si>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</si>
  <si>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</si>
  <si>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</si>
  <si>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</si>
  <si>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</si>
  <si>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</si>
  <si>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</si>
  <si>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</si>
  <si>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</si>
  <si>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</si>
  <si>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</si>
  <si>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</si>
  <si>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</si>
  <si>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</si>
  <si>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</si>
  <si>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</si>
  <si>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</si>
  <si>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</si>
  <si>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</si>
  <si>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</si>
  <si>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</si>
  <si>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</si>
  <si>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</si>
  <si>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</si>
  <si>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</si>
  <si>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</si>
  <si>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</si>
  <si>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</si>
  <si>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</si>
  <si>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</si>
  <si>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</si>
  <si>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</si>
  <si>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</si>
  <si>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</si>
  <si>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</si>
  <si>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</si>
  <si>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</si>
  <si>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</si>
  <si>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</si>
  <si>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</si>
  <si>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</si>
  <si>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</si>
  <si>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</si>
  <si>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</si>
  <si>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</si>
  <si>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</si>
  <si>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</si>
  <si>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</si>
  <si>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</si>
  <si>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</si>
  <si>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</si>
  <si>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</si>
  <si>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</si>
  <si>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</si>
  <si>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</si>
  <si>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</si>
  <si>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</si>
  <si>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</si>
  <si>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</si>
  <si>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</si>
  <si>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</si>
  <si>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</si>
  <si>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</si>
  <si>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</si>
  <si>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</si>
  <si>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</si>
  <si>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</si>
  <si>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</si>
  <si>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</si>
  <si>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</si>
  <si>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</si>
  <si>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</si>
  <si>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</si>
  <si>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</si>
  <si>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</si>
  <si>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</si>
  <si>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</si>
  <si>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</si>
  <si>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</si>
  <si>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</si>
  <si>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</si>
  <si>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</si>
  <si>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</si>
  <si>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</si>
  <si>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</si>
  <si>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</si>
  <si>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</si>
  <si>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</si>
  <si>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</si>
  <si>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</si>
  <si>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</si>
  <si>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</si>
  <si>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</si>
  <si>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</si>
  <si>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</si>
  <si>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</si>
  <si>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</si>
  <si>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</si>
  <si>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</si>
  <si>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</si>
  <si>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</si>
  <si>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</si>
  <si>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</si>
  <si>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</si>
  <si>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</si>
  <si>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</si>
  <si>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</si>
  <si>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</si>
  <si>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</si>
  <si>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</si>
  <si>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</si>
  <si>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</si>
  <si>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</si>
  <si>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</si>
  <si>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</si>
  <si>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</si>
  <si>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</si>
  <si>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</si>
  <si>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</si>
  <si>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</si>
  <si>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</si>
  <si>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</si>
  <si>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</si>
  <si>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</si>
  <si>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</si>
  <si>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</si>
  <si>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</si>
  <si>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</si>
  <si>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</si>
  <si>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</si>
  <si>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</si>
  <si>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</si>
  <si>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</si>
  <si>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</si>
  <si>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</si>
  <si>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</si>
  <si>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</si>
  <si>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</si>
  <si>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</si>
  <si>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</si>
  <si>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</si>
  <si>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</si>
  <si>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</si>
  <si>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</si>
  <si>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</si>
  <si>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</si>
  <si>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</si>
  <si>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</si>
  <si>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</si>
  <si>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</si>
  <si>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</si>
  <si>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</si>
  <si>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</si>
  <si>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</si>
  <si>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</si>
  <si>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</si>
  <si>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</si>
  <si>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</si>
  <si>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</si>
  <si>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</si>
  <si>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</si>
  <si>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</si>
  <si>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</si>
  <si>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</si>
  <si>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</si>
  <si>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</si>
  <si>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</si>
  <si>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</si>
  <si>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</si>
  <si>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</si>
  <si>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</si>
  <si>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</si>
  <si>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</si>
  <si>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</si>
  <si>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</si>
  <si>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</si>
  <si>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</si>
  <si>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</si>
  <si>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</si>
  <si>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</si>
  <si>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</si>
  <si>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</si>
  <si>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</si>
  <si>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</si>
  <si>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</si>
  <si>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</si>
  <si>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</si>
  <si>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</si>
  <si>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</si>
  <si>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</si>
  <si>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</si>
  <si>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</si>
  <si>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</si>
  <si>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</si>
  <si>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</si>
  <si>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</si>
  <si>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</si>
  <si>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</si>
  <si>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</si>
  <si>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</si>
  <si>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</si>
  <si>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</si>
  <si>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</si>
  <si>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</si>
  <si>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</si>
  <si>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</si>
  <si>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</si>
  <si>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</si>
  <si>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</si>
  <si>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</si>
  <si>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</si>
  <si>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</si>
  <si>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</si>
  <si>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</si>
  <si>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</si>
  <si>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</si>
  <si>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</si>
  <si>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</si>
  <si>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</si>
  <si>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</si>
  <si>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</si>
  <si>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</si>
  <si>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</si>
  <si>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</si>
  <si>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</si>
  <si>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</si>
  <si>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</si>
  <si>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</si>
  <si>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</si>
  <si>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</si>
  <si>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</si>
  <si>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</si>
  <si>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</si>
  <si>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</si>
  <si>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</si>
  <si>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</si>
  <si>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</si>
  <si>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</si>
  <si>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</si>
  <si>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</si>
  <si>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</si>
  <si>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</si>
  <si>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</si>
  <si>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</si>
  <si>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</si>
  <si>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</si>
  <si>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</si>
  <si>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</si>
  <si>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</si>
  <si>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</si>
  <si>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</si>
  <si>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</si>
  <si>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</si>
  <si>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</si>
  <si>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</si>
  <si>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</si>
  <si>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</si>
  <si>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</si>
  <si>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</si>
  <si>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</si>
  <si>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</si>
  <si>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</si>
  <si>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</si>
  <si>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</si>
  <si>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</si>
  <si>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</si>
  <si>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</si>
  <si>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</si>
  <si>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</si>
  <si>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</si>
  <si>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</si>
  <si>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</si>
  <si>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</si>
  <si>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</si>
  <si>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</si>
  <si>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</si>
  <si>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</si>
  <si>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</si>
  <si>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</si>
  <si>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</si>
  <si>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</si>
  <si>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</si>
  <si>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</si>
  <si>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</si>
  <si>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</si>
  <si>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</si>
  <si>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</si>
  <si>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</si>
  <si>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</si>
  <si>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</si>
  <si>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</si>
  <si>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</si>
  <si>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</si>
  <si>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</si>
  <si>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</si>
  <si>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</si>
  <si>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</si>
  <si>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</si>
  <si>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</si>
  <si>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</si>
  <si>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</si>
  <si>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</si>
  <si>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</si>
  <si>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</si>
  <si>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</si>
  <si>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</si>
  <si>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</si>
  <si>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</si>
  <si>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</si>
  <si>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</si>
  <si>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</si>
  <si>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</si>
  <si>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</si>
  <si>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</si>
  <si>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</si>
  <si>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</si>
  <si>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</si>
  <si>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</si>
  <si>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</si>
  <si>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</si>
  <si>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</si>
  <si>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</si>
  <si>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</si>
  <si>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</si>
  <si>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</si>
  <si>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</si>
  <si>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</si>
  <si>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</si>
  <si>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</si>
  <si>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</si>
  <si>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</si>
  <si>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</si>
  <si>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</si>
  <si>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</si>
  <si>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</si>
  <si>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</si>
  <si>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</si>
  <si>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</si>
  <si>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</si>
  <si>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</si>
  <si>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</si>
  <si>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</si>
  <si>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</si>
  <si>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</si>
  <si>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</si>
  <si>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</si>
  <si>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</si>
  <si>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</si>
  <si>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</si>
  <si>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</si>
  <si>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</si>
  <si>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</si>
  <si>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</si>
  <si>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</si>
  <si>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</si>
  <si>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</si>
  <si>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</si>
  <si>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</si>
  <si>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</si>
  <si>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</si>
  <si>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</si>
  <si>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</si>
  <si>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</si>
  <si>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</si>
  <si>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</si>
  <si>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</si>
  <si>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</si>
  <si>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</si>
  <si>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</si>
  <si>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</si>
  <si>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</si>
  <si>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</si>
  <si>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</si>
  <si>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</si>
  <si>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</si>
  <si>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</si>
  <si>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</si>
  <si>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</si>
  <si>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</si>
  <si>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</si>
  <si>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</si>
  <si>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</si>
  <si>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</si>
  <si>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</si>
  <si>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</si>
  <si>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</si>
  <si>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</si>
  <si>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</si>
  <si>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</si>
  <si>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</si>
  <si>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</si>
  <si>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</si>
  <si>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</si>
  <si>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</si>
  <si>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</si>
  <si>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</si>
  <si>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</si>
  <si>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</si>
  <si>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</si>
  <si>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</si>
  <si>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</si>
  <si>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</si>
  <si>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</si>
  <si>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</si>
  <si>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</si>
  <si>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</si>
  <si>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</si>
  <si>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</si>
  <si>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</si>
  <si>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</si>
  <si>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</si>
  <si>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</si>
  <si>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</si>
  <si>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</si>
  <si>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</si>
  <si>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</si>
  <si>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</si>
  <si>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</si>
  <si>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</si>
  <si>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</si>
  <si>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</si>
  <si>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</si>
  <si>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</si>
  <si>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</si>
  <si>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</si>
  <si>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</si>
  <si>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</si>
  <si>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</si>
  <si>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</si>
  <si>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</si>
  <si>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</si>
  <si>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</si>
  <si>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</si>
  <si>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</si>
  <si>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</si>
  <si>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</si>
  <si>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</si>
  <si>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</si>
  <si>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</si>
  <si>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</si>
  <si>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</si>
  <si>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</si>
  <si>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</si>
  <si>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</si>
  <si>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</si>
  <si>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</si>
  <si>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</si>
  <si>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</si>
  <si>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</si>
  <si>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</si>
  <si>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</si>
  <si>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</si>
  <si>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</si>
  <si>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</si>
  <si>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</si>
  <si>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</si>
  <si>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</si>
  <si>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</si>
  <si>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</si>
  <si>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</si>
  <si>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</si>
  <si>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</si>
  <si>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</si>
  <si>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</si>
  <si>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</si>
  <si>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</si>
  <si>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</si>
  <si>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</si>
  <si>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</si>
  <si>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</si>
  <si>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</si>
  <si>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</si>
  <si>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</si>
  <si>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</si>
  <si>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</si>
  <si>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</si>
  <si>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</si>
  <si>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</si>
  <si>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</si>
  <si>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</si>
  <si>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</si>
  <si>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</si>
  <si>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</si>
  <si>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</si>
  <si>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</si>
  <si>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</si>
  <si>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</si>
  <si>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</si>
  <si>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</si>
  <si>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</si>
  <si>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</si>
  <si>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</si>
  <si>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</si>
  <si>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</si>
  <si>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</si>
  <si>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</si>
  <si>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</si>
  <si>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</si>
  <si>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</si>
  <si>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</si>
  <si>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</si>
  <si>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</si>
  <si>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</si>
  <si>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</si>
  <si>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</si>
  <si>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</si>
  <si>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</si>
  <si>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</si>
  <si>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</si>
  <si>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</si>
  <si>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</si>
  <si>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</si>
  <si>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</si>
  <si>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</si>
  <si>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</si>
  <si>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</si>
  <si>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</si>
  <si>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</si>
  <si>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</si>
  <si>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</si>
  <si>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</si>
  <si>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</si>
  <si>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</si>
  <si>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</si>
  <si>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</si>
  <si>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</si>
  <si>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</si>
  <si>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</si>
  <si>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</si>
  <si>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</si>
  <si>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</si>
  <si>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</si>
  <si>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</si>
  <si>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</si>
  <si>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</si>
  <si>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</si>
  <si>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</si>
  <si>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</si>
  <si>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</si>
  <si>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</si>
  <si>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</si>
  <si>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</si>
  <si>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</si>
  <si>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</si>
  <si>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</si>
  <si>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</si>
  <si>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</si>
  <si>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</si>
  <si>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</si>
  <si>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</si>
  <si>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</si>
  <si>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</si>
  <si>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</si>
  <si>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</si>
  <si>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</si>
  <si>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</si>
  <si>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</si>
  <si>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</si>
  <si>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</si>
  <si>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</si>
  <si>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</si>
  <si>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</si>
  <si>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</si>
  <si>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</si>
  <si>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</si>
  <si>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</si>
  <si>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</si>
  <si>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</si>
  <si>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</si>
  <si>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</si>
  <si>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</si>
  <si>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</si>
  <si>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</si>
  <si>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</si>
  <si>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</si>
  <si>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</si>
  <si>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</si>
  <si>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</si>
  <si>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</si>
  <si>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</si>
  <si>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</si>
  <si>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</si>
  <si>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</si>
  <si>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</si>
  <si>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</si>
  <si>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</si>
  <si>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</si>
  <si>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</si>
  <si>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</si>
  <si>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</si>
  <si>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</si>
  <si>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</si>
  <si>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</si>
  <si>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</si>
  <si>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</si>
  <si>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</si>
  <si>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</si>
  <si>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</si>
  <si>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</si>
  <si>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</si>
  <si>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</si>
  <si>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</si>
  <si>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</si>
  <si>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</si>
  <si>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</si>
  <si>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</si>
  <si>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</si>
  <si>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</si>
  <si>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</si>
  <si>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</si>
  <si>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</si>
  <si>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</si>
  <si>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</si>
  <si>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</si>
  <si>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</si>
  <si>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</si>
  <si>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</si>
  <si>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</si>
  <si>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</si>
  <si>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</si>
  <si>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</si>
  <si>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</si>
  <si>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</si>
  <si>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</si>
  <si>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</si>
  <si>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</si>
  <si>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</si>
  <si>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</si>
  <si>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</si>
  <si>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</si>
  <si>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</si>
  <si>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</si>
  <si>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</si>
  <si>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</si>
  <si>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</si>
  <si>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</si>
  <si>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</si>
  <si>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</si>
  <si>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</si>
  <si>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</si>
  <si>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</si>
  <si>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</si>
  <si>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</si>
  <si>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</si>
  <si>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</si>
  <si>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</si>
  <si>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</si>
  <si>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</si>
  <si>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</si>
  <si>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</si>
  <si>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</si>
  <si>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</si>
  <si>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</si>
  <si>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</si>
  <si>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</si>
  <si>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</si>
  <si>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</si>
  <si>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</si>
  <si>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</si>
  <si>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</si>
  <si>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</si>
  <si>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</si>
  <si>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</si>
  <si>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</si>
  <si>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</si>
  <si>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</si>
  <si>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</si>
  <si>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</si>
  <si>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</si>
  <si>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</si>
  <si>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</si>
  <si>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</si>
  <si>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</si>
  <si>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</si>
  <si>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</si>
  <si>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</si>
  <si>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</si>
  <si>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</si>
  <si>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</si>
  <si>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</si>
  <si>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</si>
  <si>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</si>
  <si>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</si>
  <si>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</si>
  <si>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</si>
  <si>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</si>
  <si>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</si>
  <si>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</si>
  <si>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</si>
  <si>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</si>
  <si>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</si>
  <si>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</si>
  <si>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</si>
  <si>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</si>
  <si>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</si>
  <si>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</si>
  <si>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</si>
  <si>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</si>
  <si>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</si>
  <si>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</si>
  <si>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</si>
  <si>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</si>
  <si>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</si>
  <si>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</si>
  <si>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</si>
  <si>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</si>
  <si>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</si>
  <si>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</si>
  <si>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</si>
  <si>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</si>
  <si>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</si>
  <si>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</si>
  <si>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</si>
  <si>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</si>
  <si>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</si>
  <si>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</si>
  <si>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</si>
  <si>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</si>
  <si>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</si>
  <si>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</si>
  <si>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</si>
  <si>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</si>
  <si>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</si>
  <si>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</si>
  <si>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</si>
  <si>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</si>
  <si>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</si>
  <si>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</si>
  <si>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</si>
  <si>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</si>
  <si>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</si>
  <si>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</si>
  <si>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</si>
  <si>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</si>
  <si>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</si>
  <si>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</si>
  <si>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</si>
  <si>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</si>
  <si>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</si>
  <si>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</si>
  <si>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</si>
  <si>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</si>
  <si>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</si>
  <si>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</si>
  <si>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</si>
  <si>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</si>
  <si>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</si>
  <si>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</si>
  <si>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</si>
  <si>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</si>
  <si>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</si>
  <si>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</si>
  <si>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</si>
  <si>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</si>
  <si>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</si>
  <si>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</si>
  <si>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</si>
  <si>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</si>
  <si>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</si>
  <si>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</si>
  <si>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</si>
  <si>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</si>
  <si>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</si>
  <si>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</si>
  <si>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</si>
  <si>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</si>
  <si>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</si>
  <si>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</si>
  <si>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</si>
  <si>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</si>
  <si>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</si>
  <si>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</si>
  <si>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</si>
  <si>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</si>
  <si>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</si>
  <si>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</si>
  <si>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</si>
  <si>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</si>
  <si>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</si>
  <si>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</si>
  <si>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</si>
  <si>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</si>
  <si>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</si>
  <si>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</si>
  <si>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</si>
  <si>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</si>
  <si>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</si>
  <si>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</si>
  <si>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</si>
  <si>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</si>
  <si>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</si>
  <si>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</si>
  <si>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</si>
  <si>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</si>
  <si>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</si>
  <si>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</si>
  <si>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</si>
  <si>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</si>
  <si>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</si>
  <si>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</si>
  <si>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</si>
  <si>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</si>
  <si>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</si>
  <si>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</si>
  <si>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</si>
  <si>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</si>
  <si>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</si>
  <si>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</si>
  <si>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</si>
  <si>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</si>
  <si>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</si>
  <si>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</si>
  <si>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</si>
  <si>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</si>
  <si>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</si>
  <si>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</si>
  <si>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</si>
  <si>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</si>
  <si>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</si>
  <si>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</si>
  <si>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</si>
  <si>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</si>
  <si>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</si>
  <si>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</si>
  <si>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</si>
  <si>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</si>
  <si>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</si>
  <si>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</si>
  <si>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</si>
  <si>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</si>
  <si>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</si>
  <si>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</si>
  <si>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</si>
  <si>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</si>
  <si>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</si>
  <si>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</si>
  <si>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</si>
  <si>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</si>
  <si>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</si>
  <si>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</si>
  <si>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</si>
  <si>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</si>
  <si>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</si>
  <si>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</si>
  <si>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</si>
  <si>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</si>
  <si>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</si>
  <si>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</si>
  <si>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</si>
  <si>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</si>
  <si>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</si>
  <si>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</si>
  <si>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</si>
  <si>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</si>
  <si>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</si>
  <si>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</si>
  <si>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</si>
  <si>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</si>
  <si>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</si>
  <si>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</si>
  <si>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</si>
  <si>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</si>
  <si>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</si>
  <si>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</si>
  <si>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</si>
  <si>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</si>
  <si>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</si>
  <si>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</si>
  <si>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</si>
  <si>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</si>
  <si>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</si>
  <si>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</si>
  <si>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</si>
  <si>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</si>
  <si>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</si>
  <si>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</si>
  <si>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</si>
  <si>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</si>
  <si>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</si>
  <si>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</si>
  <si>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</si>
  <si>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</si>
  <si>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</si>
  <si>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</si>
  <si>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</si>
  <si>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</si>
  <si>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</si>
  <si>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</si>
  <si>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</si>
  <si>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</si>
  <si>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</si>
  <si>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</si>
  <si>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</si>
  <si>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</si>
  <si>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</si>
  <si>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</si>
  <si>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</si>
  <si>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</si>
  <si>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</si>
  <si>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</si>
  <si>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</si>
  <si>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</si>
  <si>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</si>
  <si>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</si>
  <si>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</si>
  <si>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</si>
  <si>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</si>
  <si>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</si>
  <si>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</si>
  <si>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</si>
  <si>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</si>
  <si>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</si>
  <si>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</si>
  <si>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</si>
  <si>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</si>
  <si>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</si>
  <si>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</si>
  <si>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</si>
  <si>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</si>
  <si>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</si>
  <si>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</si>
  <si>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</si>
  <si>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</si>
  <si>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</si>
  <si>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</si>
  <si>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</si>
  <si>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</si>
  <si>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</si>
  <si>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</si>
  <si>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</si>
  <si>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</si>
  <si>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</si>
  <si>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</si>
  <si>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</si>
  <si>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</si>
  <si>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</si>
  <si>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</si>
  <si>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</si>
  <si>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</si>
  <si>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</si>
  <si>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</si>
  <si>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</si>
  <si>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</si>
  <si>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</si>
  <si>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</si>
  <si>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</si>
  <si>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</si>
  <si>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</si>
  <si>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</si>
  <si>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</si>
  <si>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</si>
  <si>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</si>
  <si>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</si>
  <si>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</si>
  <si>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</si>
  <si>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</si>
  <si>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</si>
  <si>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</si>
  <si>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</si>
  <si>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</si>
  <si>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</si>
  <si>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</si>
  <si>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</si>
  <si>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</si>
  <si>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</si>
  <si>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</si>
  <si>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</si>
  <si>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</si>
  <si>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</si>
  <si>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</si>
  <si>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</si>
  <si>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</si>
  <si>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</si>
  <si>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</si>
  <si>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</si>
  <si>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</si>
  <si>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</si>
  <si>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</si>
  <si>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</si>
  <si>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</si>
  <si>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</si>
  <si>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</si>
  <si>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</si>
  <si>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</si>
  <si>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</si>
  <si>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</si>
  <si>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</si>
  <si>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</si>
  <si>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</si>
  <si>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</si>
  <si>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</si>
  <si>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</si>
  <si>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</si>
  <si>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</si>
  <si>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</si>
  <si>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</si>
  <si>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</si>
  <si>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</si>
  <si>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</si>
  <si>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</si>
  <si>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</si>
  <si>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</si>
  <si>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</si>
  <si>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</si>
  <si>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</si>
  <si>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</si>
  <si>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</si>
  <si>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</si>
  <si>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</si>
  <si>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</si>
  <si>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</si>
  <si>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</si>
  <si>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</si>
  <si>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</si>
  <si>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</si>
  <si>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</si>
  <si>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</si>
  <si>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</si>
  <si>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</si>
  <si>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</si>
  <si>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</si>
  <si>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</si>
  <si>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</si>
  <si>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</si>
  <si>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</si>
  <si>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</si>
  <si>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</si>
  <si>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</si>
  <si>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</si>
  <si>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</si>
  <si>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</si>
  <si>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</si>
  <si>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</si>
  <si>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</si>
  <si>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</si>
  <si>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</si>
  <si>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</si>
  <si>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</si>
  <si>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</si>
  <si>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</si>
  <si>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</si>
  <si>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</si>
  <si>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</si>
  <si>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</si>
  <si>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</si>
  <si>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</si>
  <si>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</si>
  <si>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</si>
  <si>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</si>
  <si>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</si>
  <si>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</si>
  <si>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</si>
  <si>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</si>
  <si>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</si>
  <si>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</si>
  <si>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</si>
  <si>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</si>
  <si>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</si>
  <si>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</si>
  <si>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</si>
  <si>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</si>
  <si>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</si>
  <si>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</si>
  <si>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</si>
  <si>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</si>
  <si>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</si>
  <si>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</si>
  <si>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</si>
  <si>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</si>
  <si>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</si>
  <si>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</si>
  <si>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</si>
  <si>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</si>
  <si>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</si>
  <si>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</si>
  <si>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</si>
  <si>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</si>
  <si>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</si>
  <si>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</si>
  <si>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</si>
  <si>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</si>
  <si>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</si>
  <si>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</si>
  <si>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</si>
  <si>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</si>
  <si>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</si>
  <si>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</si>
  <si>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</si>
  <si>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</si>
  <si>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</si>
  <si>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</si>
  <si>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</si>
  <si>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</si>
  <si>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</si>
  <si>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</si>
  <si>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</si>
  <si>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</si>
  <si>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</si>
  <si>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</si>
  <si>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</si>
  <si>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</si>
  <si>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</si>
  <si>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</si>
  <si>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</si>
  <si>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</si>
  <si>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</si>
  <si>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</si>
  <si>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</si>
  <si>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</si>
  <si>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</si>
  <si>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</si>
  <si>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</si>
  <si>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</si>
  <si>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</si>
  <si>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</si>
  <si>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</si>
  <si>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</si>
  <si>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</si>
  <si>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</si>
  <si>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</si>
  <si>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</si>
  <si>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</si>
  <si>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</si>
  <si>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</si>
  <si>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</si>
  <si>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</si>
  <si>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</si>
  <si>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</si>
  <si>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</si>
  <si>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</si>
  <si>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</si>
  <si>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</si>
  <si>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</si>
  <si>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</si>
  <si>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</si>
  <si>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</si>
  <si>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</si>
  <si>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</si>
  <si>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</si>
  <si>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</si>
  <si>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</si>
  <si>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</si>
  <si>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</si>
  <si>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</si>
  <si>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</si>
  <si>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</si>
  <si>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</si>
  <si>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</si>
  <si>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</si>
  <si>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</si>
  <si>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</si>
  <si>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</si>
  <si>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</si>
  <si>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</si>
  <si>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</si>
  <si>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</si>
  <si>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</si>
  <si>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</si>
  <si>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</si>
  <si>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</si>
  <si>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</si>
  <si>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</si>
  <si>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</si>
  <si>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</si>
  <si>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</si>
  <si>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</si>
  <si>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</si>
  <si>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</si>
  <si>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</si>
  <si>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</si>
  <si>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</si>
  <si>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</si>
  <si>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</si>
  <si>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</si>
  <si>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</si>
  <si>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</si>
  <si>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</si>
  <si>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</si>
  <si>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</si>
  <si>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</si>
  <si>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</si>
  <si>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</si>
  <si>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</si>
  <si>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</si>
  <si>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</si>
  <si>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</si>
  <si>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</si>
  <si>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</si>
  <si>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</si>
  <si>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</si>
  <si>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</si>
  <si>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</si>
  <si>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</si>
  <si>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</si>
  <si>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</si>
  <si>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</si>
  <si>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</si>
  <si>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</si>
  <si>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</si>
  <si>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</si>
  <si>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</si>
  <si>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</si>
  <si>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</si>
  <si>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</si>
  <si>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</si>
  <si>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</si>
  <si>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</si>
  <si>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</si>
  <si>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</si>
  <si>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</si>
  <si>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</si>
  <si>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</si>
  <si>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</si>
  <si>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</si>
  <si>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</si>
  <si>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</si>
  <si>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</si>
  <si>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</si>
  <si>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</si>
  <si>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</si>
  <si>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</si>
  <si>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</si>
  <si>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</si>
  <si>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</si>
  <si>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</si>
  <si>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</si>
  <si>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</si>
  <si>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</si>
  <si>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</si>
  <si>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</si>
  <si>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</si>
  <si>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</si>
  <si>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</si>
  <si>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</si>
  <si>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</si>
  <si>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</si>
  <si>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</si>
  <si>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</si>
  <si>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</si>
  <si>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</si>
  <si>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</si>
  <si>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</si>
  <si>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</si>
  <si>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</si>
  <si>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</si>
  <si>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</si>
  <si>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</si>
  <si>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</si>
  <si>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</si>
  <si>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</si>
  <si>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</si>
  <si>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</si>
  <si>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</si>
  <si>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</si>
  <si>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</si>
  <si>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</si>
  <si>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</si>
  <si>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</si>
  <si>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</si>
  <si>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</si>
  <si>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</si>
  <si>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</si>
  <si>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</si>
  <si>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</si>
  <si>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</si>
  <si>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</si>
  <si>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</si>
  <si>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</si>
  <si>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</si>
  <si>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</si>
  <si>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</si>
  <si>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</si>
  <si>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</si>
  <si>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</si>
  <si>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</si>
  <si>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</si>
  <si>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</si>
  <si>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</si>
  <si>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</si>
  <si>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</si>
  <si>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</si>
  <si>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</si>
  <si>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</si>
  <si>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</si>
  <si>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</si>
  <si>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</si>
  <si>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</si>
  <si>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</si>
  <si>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</si>
  <si>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</si>
  <si>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</si>
  <si>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</si>
  <si>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</si>
  <si>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</si>
  <si>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</si>
  <si>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</si>
  <si>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</si>
  <si>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</si>
  <si>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</si>
  <si>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</si>
  <si>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</si>
  <si>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</si>
  <si>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</si>
  <si>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</si>
  <si>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</si>
  <si>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</si>
  <si>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</si>
  <si>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</si>
  <si>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</si>
  <si>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</si>
  <si>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</si>
  <si>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</si>
  <si>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</si>
  <si>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</si>
  <si>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</si>
  <si>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</si>
  <si>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</si>
  <si>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</si>
  <si>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</si>
  <si>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</si>
  <si>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</si>
  <si>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</si>
  <si>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</si>
  <si>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</si>
  <si>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</si>
  <si>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</si>
  <si>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</si>
  <si>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</si>
  <si>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</si>
  <si>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</si>
  <si>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</si>
  <si>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</si>
  <si>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</si>
  <si>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</si>
  <si>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</si>
  <si>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</si>
  <si>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</si>
  <si>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</si>
  <si>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</si>
  <si>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</si>
  <si>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</si>
  <si>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</si>
  <si>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</si>
  <si>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</si>
  <si>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</si>
  <si>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</si>
  <si>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</si>
  <si>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</si>
  <si>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</si>
  <si>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</si>
  <si>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</si>
  <si>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</si>
  <si>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</si>
  <si>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</si>
  <si>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</si>
  <si>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</si>
  <si>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</si>
  <si>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</si>
  <si>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</si>
  <si>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</si>
  <si>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</si>
  <si>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</si>
  <si>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</si>
  <si>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</si>
  <si>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</si>
  <si>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</si>
  <si>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</si>
  <si>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</si>
  <si>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</si>
  <si>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</si>
  <si>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</si>
  <si>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</si>
  <si>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</si>
  <si>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</si>
  <si>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</si>
  <si>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</si>
  <si>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</si>
  <si>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</si>
  <si>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</si>
  <si>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</si>
  <si>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</si>
  <si>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</si>
  <si>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</si>
  <si>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</si>
  <si>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</si>
  <si>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</si>
  <si>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</si>
  <si>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</si>
  <si>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</si>
  <si>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</si>
  <si>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</si>
  <si>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</si>
  <si>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</si>
  <si>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</si>
  <si>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</si>
  <si>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</si>
  <si>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</si>
  <si>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</si>
  <si>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</si>
  <si>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</si>
  <si>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</si>
  <si>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</si>
  <si>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</si>
  <si>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</si>
  <si>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</si>
  <si>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</si>
  <si>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</si>
  <si>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</si>
  <si>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</si>
  <si>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</si>
  <si>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</si>
  <si>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</si>
  <si>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</si>
  <si>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</si>
  <si>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</si>
  <si>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</si>
  <si>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</si>
  <si>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</si>
  <si>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</si>
  <si>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</si>
  <si>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</si>
  <si>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</si>
  <si>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</si>
  <si>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</si>
  <si>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</si>
  <si>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</si>
  <si>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</si>
  <si>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</si>
  <si>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</si>
  <si>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</si>
  <si>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</si>
  <si>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</si>
  <si>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</si>
  <si>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</si>
  <si>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</si>
  <si>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</si>
  <si>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</si>
  <si>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</si>
  <si>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</si>
  <si>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</si>
  <si>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</si>
  <si>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</si>
  <si>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</si>
  <si>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</si>
  <si>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</si>
  <si>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</si>
  <si>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</si>
  <si>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</si>
  <si>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</si>
  <si>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</si>
  <si>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</si>
  <si>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</si>
  <si>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</si>
  <si>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</si>
  <si>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</si>
  <si>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</si>
  <si>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</si>
  <si>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</si>
  <si>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</si>
  <si>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</si>
  <si>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</si>
  <si>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</si>
  <si>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</si>
  <si>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</si>
  <si>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</si>
  <si>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</si>
  <si>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</si>
  <si>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</si>
  <si>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</si>
  <si>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</si>
  <si>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</si>
  <si>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</si>
  <si>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</si>
  <si>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</si>
  <si>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</si>
  <si>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</si>
  <si>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</si>
  <si>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</si>
  <si>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</si>
  <si>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</si>
  <si>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</si>
  <si>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</si>
  <si>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</si>
  <si>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</si>
  <si>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</si>
  <si>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</si>
  <si>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</si>
  <si>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</si>
  <si>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</si>
  <si>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</si>
  <si>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</si>
  <si>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</si>
  <si>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</si>
  <si>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</si>
  <si>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</si>
  <si>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</si>
  <si>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</si>
  <si>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</si>
  <si>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</si>
  <si>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</si>
  <si>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</si>
  <si>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</si>
  <si>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</si>
  <si>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</si>
  <si>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</si>
  <si>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</si>
  <si>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</si>
  <si>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</si>
  <si>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</si>
  <si>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</si>
  <si>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</si>
  <si>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</si>
  <si>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</si>
  <si>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</si>
  <si>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</si>
  <si>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</si>
  <si>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</si>
  <si>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</si>
  <si>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</si>
  <si>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</si>
  <si>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</si>
  <si>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</si>
  <si>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</si>
  <si>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</si>
  <si>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</si>
  <si>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</si>
  <si>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</si>
  <si>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</si>
  <si>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</si>
  <si>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</si>
  <si>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</si>
  <si>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</si>
  <si>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</si>
  <si>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</si>
  <si>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</si>
  <si>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</si>
  <si>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</si>
  <si>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</si>
  <si>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</si>
  <si>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</si>
  <si>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</si>
  <si>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</si>
  <si>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</si>
  <si>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</si>
  <si>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</si>
  <si>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</si>
  <si>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</si>
  <si>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</si>
  <si>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</si>
  <si>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</si>
  <si>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</si>
  <si>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</si>
  <si>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</si>
  <si>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</si>
  <si>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</si>
  <si>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</si>
  <si>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</si>
  <si>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</si>
  <si>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</si>
  <si>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</si>
  <si>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</si>
  <si>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</si>
  <si>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</si>
  <si>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</si>
  <si>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</si>
  <si>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</si>
  <si>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</si>
  <si>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</si>
  <si>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</si>
  <si>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</si>
  <si>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</si>
  <si>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</si>
  <si>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</si>
  <si>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</si>
  <si>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</si>
  <si>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</si>
  <si>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</si>
  <si>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</si>
  <si>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</si>
  <si>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</si>
  <si>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</si>
  <si>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</si>
  <si>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</si>
  <si>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</si>
  <si>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</si>
  <si>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</si>
  <si>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</si>
  <si>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</si>
  <si>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</si>
  <si>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</si>
  <si>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</si>
  <si>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</si>
  <si>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</si>
  <si>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</si>
  <si>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</si>
  <si>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</si>
  <si>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</si>
  <si>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</si>
  <si>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</si>
  <si>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</si>
  <si>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</si>
  <si>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</si>
  <si>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</si>
  <si>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</si>
  <si>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</si>
  <si>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</si>
  <si>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</si>
  <si>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</si>
  <si>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</si>
  <si>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</si>
  <si>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</si>
  <si>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</si>
  <si>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</si>
  <si>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</si>
  <si>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</si>
  <si>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</si>
  <si>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</si>
  <si>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</si>
  <si>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</si>
  <si>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</si>
  <si>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</si>
  <si>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</si>
  <si>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</si>
  <si>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</si>
  <si>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</si>
  <si>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</si>
  <si>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</si>
  <si>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</si>
  <si>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</si>
  <si>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</si>
  <si>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</si>
  <si>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</si>
  <si>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</si>
  <si>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</si>
  <si>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</si>
  <si>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</si>
  <si>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</si>
  <si>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</si>
  <si>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</si>
  <si>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</si>
  <si>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</si>
  <si>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</si>
  <si>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</si>
  <si>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</si>
  <si>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</si>
  <si>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</si>
  <si>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</si>
  <si>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</si>
  <si>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</si>
  <si>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</si>
  <si>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</si>
  <si>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</si>
  <si>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</si>
  <si>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</si>
  <si>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</si>
  <si>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</si>
  <si>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</si>
  <si>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</si>
  <si>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</si>
  <si>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</si>
  <si>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</si>
  <si>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</si>
  <si>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</si>
  <si>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</si>
  <si>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</si>
  <si>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</si>
  <si>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</si>
  <si>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</si>
  <si>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</si>
  <si>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</si>
  <si>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</si>
  <si>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</si>
  <si>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</si>
  <si>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</si>
  <si>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</si>
  <si>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</si>
  <si>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</si>
  <si>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</si>
  <si>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</si>
  <si>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</si>
  <si>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</si>
  <si>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</si>
  <si>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</si>
  <si>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</si>
  <si>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</si>
  <si>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</si>
  <si>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</si>
  <si>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</si>
  <si>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</si>
  <si>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</si>
  <si>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</si>
  <si>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</si>
  <si>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</si>
  <si>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</si>
  <si>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</si>
  <si>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</si>
  <si>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</si>
  <si>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</si>
  <si>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</si>
  <si>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</si>
  <si>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</si>
  <si>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</si>
  <si>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</si>
  <si>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</si>
  <si>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</si>
  <si>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</si>
  <si>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</si>
  <si>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</si>
  <si>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</si>
  <si>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</si>
  <si>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</si>
  <si>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</si>
  <si>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</si>
  <si>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</si>
  <si>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</si>
  <si>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</si>
  <si>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</si>
  <si>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</si>
  <si>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</si>
  <si>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</si>
  <si>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</si>
  <si>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</si>
  <si>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</si>
  <si>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</si>
  <si>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</si>
  <si>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</si>
  <si>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</si>
  <si>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</si>
  <si>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</si>
  <si>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</si>
  <si>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</si>
  <si>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</si>
  <si>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</si>
  <si>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</si>
  <si>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</si>
  <si>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</si>
  <si>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</si>
  <si>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</si>
  <si>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</si>
  <si>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</si>
  <si>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</si>
  <si>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</si>
  <si>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</si>
  <si>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</si>
  <si>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</si>
  <si>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</si>
  <si>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</si>
  <si>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</si>
  <si>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</si>
  <si>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</si>
  <si>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</si>
  <si>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</si>
  <si>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</si>
  <si>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</si>
  <si>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</si>
  <si>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</si>
  <si>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</si>
  <si>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</si>
  <si>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</si>
  <si>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</si>
  <si>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</si>
  <si>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</si>
  <si>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</si>
  <si>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</si>
  <si>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</si>
  <si>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</si>
  <si>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</si>
  <si>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</si>
  <si>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</si>
  <si>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</si>
  <si>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</si>
  <si>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</si>
  <si>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</si>
  <si>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</si>
  <si>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</si>
  <si>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</si>
  <si>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</si>
  <si>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</si>
  <si>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</si>
  <si>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</si>
  <si>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</si>
  <si>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</si>
  <si>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</si>
  <si>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</si>
  <si>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</si>
  <si>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</si>
  <si>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</si>
  <si>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</si>
  <si>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</si>
  <si>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</si>
  <si>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</si>
  <si>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</si>
  <si>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</si>
  <si>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</si>
  <si>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</si>
  <si>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</si>
  <si>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</si>
  <si>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</si>
  <si>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</si>
  <si>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</si>
  <si>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</si>
  <si>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</si>
  <si>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</si>
  <si>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</si>
  <si>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</si>
  <si>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</si>
  <si>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</si>
  <si>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</si>
  <si>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</si>
  <si>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</si>
  <si>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</si>
  <si>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</si>
  <si>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</si>
  <si>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</si>
  <si>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</si>
  <si>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</si>
  <si>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</si>
  <si>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</si>
  <si>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</si>
  <si>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</si>
  <si>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</si>
  <si>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</si>
  <si>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</si>
  <si>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</si>
  <si>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</si>
  <si>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</si>
  <si>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</si>
  <si>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</si>
  <si>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</si>
  <si>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</si>
  <si>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</si>
  <si>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</si>
  <si>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</si>
  <si>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</si>
  <si>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</si>
  <si>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</si>
  <si>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</si>
  <si>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</si>
  <si>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</si>
  <si>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</si>
  <si>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</si>
  <si>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</si>
  <si>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</si>
  <si>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</si>
  <si>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</si>
  <si>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</si>
  <si>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</si>
  <si>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</si>
  <si>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</si>
  <si>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</si>
  <si>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</si>
  <si>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</si>
  <si>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</si>
  <si>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</si>
  <si>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</si>
  <si>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</si>
  <si>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</si>
  <si>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</si>
  <si>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</si>
  <si>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</si>
  <si>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</si>
  <si>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</si>
  <si>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</si>
  <si>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</si>
  <si>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</si>
  <si>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</si>
  <si>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</si>
  <si>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</si>
  <si>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</si>
  <si>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</si>
  <si>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</si>
  <si>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</si>
  <si>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</si>
  <si>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</si>
  <si>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</si>
  <si>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</si>
  <si>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</si>
  <si>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</si>
  <si>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</si>
  <si>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</si>
  <si>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</si>
  <si>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</si>
  <si>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</si>
  <si>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</si>
  <si>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</si>
  <si>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</si>
  <si>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</si>
  <si>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</si>
  <si>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</si>
  <si>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</si>
  <si>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</si>
  <si>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</si>
  <si>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</si>
  <si>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</si>
  <si>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</si>
  <si>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</si>
  <si>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</si>
  <si>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</si>
  <si>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</si>
  <si>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</si>
  <si>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</si>
  <si>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</si>
  <si>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</si>
  <si>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</si>
  <si>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</si>
  <si>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</si>
  <si>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</si>
  <si>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</si>
  <si>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</si>
  <si>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</si>
  <si>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</si>
  <si>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</si>
  <si>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</si>
  <si>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</si>
  <si>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</si>
  <si>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</si>
  <si>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</si>
  <si>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</si>
  <si>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</si>
  <si>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</si>
  <si>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</si>
  <si>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</si>
  <si>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</si>
  <si>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</si>
  <si>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</si>
  <si>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</si>
  <si>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</si>
  <si>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</si>
  <si>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</si>
  <si>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</si>
  <si>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</si>
  <si>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</si>
  <si>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</si>
  <si>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</si>
  <si>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</si>
  <si>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</si>
  <si>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</si>
  <si>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</si>
  <si>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</si>
  <si>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</si>
  <si>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</si>
  <si>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</si>
  <si>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</si>
  <si>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</si>
  <si>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</si>
  <si>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</si>
  <si>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</si>
  <si>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</si>
  <si>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</si>
  <si>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</si>
  <si>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</si>
  <si>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</si>
  <si>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</si>
  <si>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</si>
  <si>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</si>
  <si>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</si>
  <si>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</si>
  <si>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</si>
  <si>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</si>
  <si>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</si>
  <si>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</si>
  <si>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</si>
  <si>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</si>
  <si>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</si>
  <si>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</si>
  <si>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</si>
  <si>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</si>
  <si>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</si>
  <si>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</si>
  <si>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</si>
  <si>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</si>
  <si>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</si>
  <si>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</si>
  <si>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</si>
  <si>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</si>
  <si>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</si>
  <si>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</si>
  <si>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</si>
  <si>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</si>
  <si>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</si>
  <si>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</si>
  <si>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</si>
  <si>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</si>
  <si>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</si>
  <si>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</si>
  <si>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</si>
  <si>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</si>
  <si>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</si>
  <si>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</si>
  <si>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</si>
  <si>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</si>
  <si>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</si>
  <si>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</si>
  <si>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</si>
  <si>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</si>
  <si>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</si>
  <si>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</si>
  <si>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</si>
  <si>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</si>
  <si>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</si>
  <si>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</si>
  <si>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</si>
  <si>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</si>
  <si>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</si>
  <si>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</si>
  <si>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</si>
  <si>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</si>
  <si>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</si>
  <si>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</si>
  <si>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</si>
  <si>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</si>
  <si>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</si>
  <si>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</si>
  <si>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</si>
  <si>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</si>
  <si>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</si>
  <si>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</si>
  <si>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</si>
  <si>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</si>
  <si>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</si>
  <si>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</si>
  <si>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</si>
  <si>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</si>
  <si>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</si>
  <si>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</si>
  <si>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</si>
  <si>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</si>
  <si>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</si>
  <si>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</si>
  <si>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</si>
  <si>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</si>
  <si>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</si>
  <si>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</si>
  <si>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</si>
  <si>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</si>
  <si>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</si>
  <si>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</si>
  <si>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</si>
  <si>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</si>
  <si>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</si>
  <si>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</si>
  <si>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</si>
  <si>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</si>
  <si>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</si>
  <si>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</si>
  <si>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</si>
  <si>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</si>
  <si>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</si>
  <si>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</si>
  <si>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</si>
  <si>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</si>
  <si>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</si>
  <si>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</si>
  <si>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</si>
  <si>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</si>
  <si>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</si>
  <si>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</si>
  <si>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</si>
  <si>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</si>
  <si>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</si>
  <si>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</si>
  <si>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</si>
  <si>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</si>
  <si>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</si>
  <si>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</si>
  <si>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</si>
  <si>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</si>
  <si>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</si>
  <si>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</si>
  <si>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</si>
  <si>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</si>
  <si>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</si>
  <si>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</si>
  <si>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</si>
  <si>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</si>
  <si>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</si>
  <si>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</si>
  <si>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</si>
  <si>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</si>
  <si>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</si>
  <si>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</si>
  <si>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</si>
  <si>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</si>
  <si>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</si>
  <si>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</si>
  <si>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</si>
  <si>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</si>
  <si>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</si>
  <si>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</si>
  <si>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</si>
  <si>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</si>
  <si>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</si>
  <si>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</si>
  <si>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</si>
  <si>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</si>
  <si>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</si>
  <si>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</si>
  <si>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</si>
  <si>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</si>
  <si>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</si>
  <si>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</si>
  <si>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</si>
  <si>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</si>
  <si>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</si>
  <si>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</si>
  <si>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</si>
  <si>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</si>
  <si>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</si>
  <si>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</si>
  <si>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</si>
  <si>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</si>
  <si>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</si>
  <si>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</si>
  <si>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</si>
  <si>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</si>
  <si>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</si>
  <si>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</si>
  <si>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</si>
  <si>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</si>
  <si>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</si>
  <si>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</si>
  <si>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</si>
  <si>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</si>
  <si>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</si>
  <si>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</si>
  <si>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</si>
  <si>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</si>
  <si>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</si>
  <si>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</si>
  <si>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</si>
  <si>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</si>
  <si>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</si>
  <si>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</si>
  <si>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</si>
  <si>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</si>
  <si>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</si>
  <si>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</si>
  <si>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</si>
  <si>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</si>
  <si>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</si>
  <si>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</si>
  <si>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</si>
  <si>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</si>
  <si>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</si>
  <si>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</si>
  <si>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</si>
  <si>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</si>
  <si>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</si>
  <si>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</si>
  <si>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</si>
  <si>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</si>
  <si>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</si>
  <si>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</si>
  <si>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</si>
  <si>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</si>
  <si>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</si>
  <si>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</si>
  <si>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</si>
  <si>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</si>
  <si>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</si>
  <si>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</si>
  <si>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</si>
  <si>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</si>
  <si>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</si>
  <si>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</si>
  <si>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</si>
  <si>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</si>
  <si>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</si>
  <si>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</si>
  <si>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</si>
  <si>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</si>
  <si>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</si>
  <si>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</si>
  <si>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</si>
  <si>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</si>
  <si>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</si>
  <si>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</si>
  <si>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</si>
  <si>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</si>
  <si>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</si>
  <si>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</si>
  <si>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</si>
  <si>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</si>
  <si>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</si>
  <si>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</si>
  <si>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</si>
  <si>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</si>
  <si>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</si>
  <si>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</si>
  <si>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</si>
  <si>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</si>
  <si>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</si>
  <si>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</si>
  <si>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</si>
  <si>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</si>
  <si>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</si>
  <si>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</si>
  <si>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</si>
  <si>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</si>
  <si>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</si>
  <si>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</si>
  <si>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</si>
  <si>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</si>
  <si>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</si>
  <si>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</si>
  <si>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</si>
  <si>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</si>
  <si>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</si>
  <si>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</si>
  <si>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</si>
  <si>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</si>
  <si>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</si>
  <si>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</si>
  <si>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</si>
  <si>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</si>
  <si>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</si>
  <si>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</si>
  <si>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</si>
  <si>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</si>
  <si>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</si>
  <si>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</si>
  <si>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</si>
  <si>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</si>
  <si>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</si>
  <si>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</si>
  <si>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</si>
  <si>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</si>
  <si>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</si>
  <si>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</si>
  <si>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</si>
  <si>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</si>
  <si>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</si>
  <si>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</si>
  <si>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</si>
  <si>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</si>
  <si>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</si>
  <si>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</si>
  <si>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</si>
  <si>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</si>
  <si>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</si>
  <si>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</si>
  <si>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</si>
  <si>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</si>
  <si>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</si>
  <si>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</si>
  <si>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</si>
  <si>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</si>
  <si>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</si>
  <si>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</si>
  <si>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</si>
  <si>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</si>
  <si>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</si>
  <si>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</si>
  <si>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</si>
  <si>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</si>
  <si>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</si>
  <si>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</si>
  <si>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</si>
  <si>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</si>
  <si>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</si>
  <si>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</si>
  <si>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</si>
  <si>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</si>
  <si>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</si>
  <si>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</si>
  <si>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</si>
  <si>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</si>
  <si>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</si>
  <si>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</si>
  <si>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</si>
  <si>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</si>
  <si>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</si>
  <si>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</si>
  <si>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</si>
  <si>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</si>
  <si>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</si>
  <si>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</si>
  <si>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</si>
  <si>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</si>
  <si>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</si>
  <si>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</si>
  <si>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</si>
  <si>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</si>
  <si>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</si>
  <si>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</si>
  <si>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</si>
  <si>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</si>
  <si>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</si>
  <si>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</si>
  <si>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</si>
  <si>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</si>
  <si>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</si>
  <si>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</si>
  <si>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</si>
  <si>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</si>
  <si>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</si>
  <si>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</si>
  <si>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</si>
  <si>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</si>
  <si>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</si>
  <si>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</si>
  <si>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</si>
  <si>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</si>
  <si>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</si>
  <si>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</si>
  <si>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</si>
  <si>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</si>
  <si>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</si>
  <si>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</si>
  <si>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</si>
  <si>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</si>
  <si>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</si>
  <si>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</si>
  <si>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</si>
  <si>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</si>
  <si>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</si>
  <si>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</si>
  <si>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</si>
  <si>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</si>
  <si>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</si>
  <si>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</si>
  <si>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</si>
  <si>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</si>
  <si>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</si>
  <si>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</si>
  <si>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</si>
  <si>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</si>
  <si>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</si>
  <si>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</si>
  <si>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</si>
  <si>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</si>
  <si>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</si>
  <si>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</si>
  <si>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</si>
  <si>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</si>
  <si>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</si>
  <si>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</si>
  <si>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</si>
  <si>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</si>
  <si>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</si>
  <si>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</si>
  <si>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</si>
  <si>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</si>
  <si>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</si>
  <si>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</si>
  <si>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</si>
  <si>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</si>
  <si>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</si>
  <si>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</si>
  <si>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</si>
  <si>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</si>
  <si>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</si>
  <si>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</si>
  <si>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</si>
  <si>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</si>
  <si>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</si>
  <si>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</si>
  <si>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</si>
  <si>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</si>
  <si>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</si>
  <si>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</si>
  <si>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</si>
  <si>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</si>
  <si>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</si>
  <si>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</si>
  <si>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</si>
  <si>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</si>
  <si>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</si>
  <si>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</si>
  <si>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</si>
  <si>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</si>
  <si>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</si>
  <si>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</si>
  <si>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</si>
  <si>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</si>
  <si>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</si>
  <si>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</si>
  <si>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</si>
  <si>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</si>
  <si>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</si>
  <si>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</si>
  <si>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</si>
  <si>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</si>
  <si>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</si>
  <si>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</si>
  <si>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</si>
  <si>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</si>
  <si>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</si>
  <si>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</si>
  <si>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</si>
  <si>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</si>
  <si>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</si>
  <si>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</si>
  <si>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</si>
  <si>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</si>
  <si>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</si>
  <si>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</si>
  <si>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</si>
  <si>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</si>
  <si>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</si>
  <si>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</si>
  <si>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</si>
  <si>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</si>
  <si>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</si>
  <si>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</si>
  <si>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</si>
  <si>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</si>
  <si>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</si>
  <si>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</si>
  <si>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</si>
  <si>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</si>
  <si>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</si>
  <si>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</si>
  <si>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</si>
  <si>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</si>
  <si>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</si>
  <si>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</si>
  <si>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</si>
  <si>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</si>
  <si>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</si>
  <si>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</si>
  <si>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</si>
  <si>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</si>
  <si>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</si>
  <si>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</si>
  <si>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</si>
  <si>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</si>
  <si>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</si>
  <si>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</si>
  <si>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</si>
  <si>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</si>
  <si>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</si>
  <si>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</si>
  <si>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</si>
  <si>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</si>
  <si>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</si>
  <si>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</si>
  <si>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</si>
  <si>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</si>
  <si>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</si>
  <si>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</si>
  <si>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</si>
  <si>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</si>
  <si>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</si>
  <si>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</si>
  <si>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</si>
  <si>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</si>
  <si>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</si>
  <si>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</si>
  <si>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</si>
  <si>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</si>
  <si>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</si>
  <si>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</si>
  <si>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</si>
  <si>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</si>
  <si>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</si>
  <si>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</si>
  <si>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</si>
  <si>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</si>
  <si>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</si>
  <si>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</si>
  <si>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</si>
  <si>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</si>
  <si>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</si>
  <si>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</si>
  <si>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</si>
  <si>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</si>
  <si>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</si>
  <si>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</si>
  <si>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</si>
  <si>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</si>
  <si>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</si>
  <si>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</si>
  <si>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</si>
  <si>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</si>
  <si>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</si>
  <si>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</si>
  <si>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</si>
  <si>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</si>
  <si>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</si>
  <si>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</si>
  <si>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</si>
  <si>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</si>
  <si>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</si>
  <si>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</si>
  <si>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</si>
  <si>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</si>
  <si>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</si>
  <si>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</si>
  <si>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</si>
  <si>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</si>
  <si>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</si>
  <si>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</si>
  <si>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</si>
  <si>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</si>
  <si>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</si>
  <si>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</si>
  <si>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</si>
  <si>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</si>
  <si>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</si>
  <si>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</si>
  <si>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</si>
  <si>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</si>
  <si>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</si>
  <si>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</si>
  <si>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</si>
  <si>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</si>
  <si>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</si>
  <si>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</si>
  <si>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</si>
  <si>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</si>
  <si>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</si>
  <si>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</si>
  <si>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</si>
  <si>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</si>
  <si>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</si>
  <si>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</si>
  <si>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</si>
  <si>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</si>
  <si>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</si>
  <si>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</si>
  <si>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</si>
  <si>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</si>
  <si>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</si>
  <si>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</si>
  <si>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</si>
  <si>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</si>
  <si>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</si>
  <si>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</si>
  <si>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</si>
  <si>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</si>
  <si>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</si>
  <si>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</si>
  <si>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</si>
  <si>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</si>
  <si>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</si>
  <si>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</si>
  <si>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</si>
  <si>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</si>
  <si>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</si>
  <si>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</si>
  <si>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</si>
  <si>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</si>
  <si>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</si>
  <si>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</si>
  <si>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</si>
  <si>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</si>
  <si>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</si>
  <si>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</si>
  <si>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</si>
  <si>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</si>
  <si>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</si>
  <si>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</si>
  <si>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</si>
  <si>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</si>
  <si>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</si>
  <si>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</si>
  <si>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</si>
  <si>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</si>
  <si>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</si>
  <si>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</si>
  <si>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</si>
  <si>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</si>
  <si>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</si>
  <si>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</si>
  <si>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</si>
  <si>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</si>
  <si>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</si>
  <si>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</si>
  <si>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</si>
  <si>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</si>
  <si>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</si>
  <si>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</si>
  <si>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</si>
  <si>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</si>
  <si>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</si>
  <si>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</si>
  <si>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</si>
  <si>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</si>
  <si>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</si>
  <si>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</si>
  <si>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</si>
  <si>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</si>
  <si>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</si>
  <si>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</si>
  <si>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</si>
  <si>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</si>
  <si>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</si>
  <si>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</si>
  <si>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</si>
  <si>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</si>
  <si>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</si>
  <si>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</si>
  <si>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</si>
  <si>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</si>
  <si>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</si>
  <si>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</si>
  <si>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</si>
  <si>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</si>
  <si>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</si>
  <si>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</si>
  <si>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</si>
  <si>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</si>
  <si>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</si>
  <si>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</si>
  <si>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</si>
  <si>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</si>
  <si>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</si>
  <si>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</si>
  <si>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</si>
  <si>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</si>
  <si>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</si>
  <si>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</si>
  <si>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</si>
  <si>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</si>
  <si>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</si>
  <si>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</si>
  <si>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</si>
  <si>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</si>
  <si>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</si>
  <si>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</si>
  <si>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</si>
  <si>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</si>
  <si>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</si>
  <si>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</si>
  <si>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</si>
  <si>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</si>
  <si>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</si>
  <si>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</si>
  <si>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</si>
  <si>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</si>
  <si>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</si>
  <si>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</si>
  <si>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</si>
  <si>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</si>
  <si>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</si>
  <si>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</si>
  <si>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</si>
  <si>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</si>
  <si>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</si>
  <si>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</si>
  <si>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</si>
  <si>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</si>
  <si>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</si>
  <si>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</si>
  <si>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</si>
  <si>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</si>
  <si>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</si>
  <si>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</si>
  <si>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</si>
  <si>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</si>
  <si>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</si>
  <si>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</si>
  <si>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</si>
  <si>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</si>
  <si>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</si>
  <si>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</si>
  <si>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</si>
  <si>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</si>
  <si>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</si>
  <si>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</si>
  <si>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</si>
  <si>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</si>
  <si>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</si>
  <si>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</si>
  <si>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</si>
  <si>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</si>
  <si>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</si>
  <si>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</si>
  <si>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</si>
  <si>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</si>
  <si>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</si>
  <si>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</si>
  <si>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</si>
  <si>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</si>
  <si>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</si>
  <si>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</si>
  <si>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</si>
  <si>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</si>
  <si>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</si>
  <si>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</si>
  <si>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</si>
  <si>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</si>
  <si>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</si>
  <si>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</si>
  <si>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</si>
  <si>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</si>
  <si>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</si>
  <si>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</si>
  <si>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</si>
  <si>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</si>
  <si>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</si>
  <si>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</si>
  <si>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</si>
  <si>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</si>
  <si>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</si>
  <si>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</si>
  <si>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</si>
  <si>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</si>
  <si>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</si>
  <si>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</si>
  <si>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</si>
  <si>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</si>
  <si>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</si>
  <si>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</si>
  <si>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</si>
  <si>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</si>
  <si>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</si>
  <si>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</si>
  <si>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</si>
  <si>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</si>
  <si>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</si>
  <si>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</si>
  <si>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</si>
  <si>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</si>
  <si>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</si>
  <si>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</si>
  <si>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</si>
  <si>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</si>
  <si>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</si>
  <si>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</si>
  <si>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</si>
  <si>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</si>
  <si>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</si>
  <si>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</si>
  <si>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</si>
  <si>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</si>
  <si>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</si>
  <si>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</si>
  <si>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</si>
  <si>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</si>
  <si>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</si>
  <si>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</si>
  <si>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</si>
  <si>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</si>
  <si>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</si>
  <si>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</si>
  <si>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</si>
  <si>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</si>
  <si>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</si>
  <si>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</si>
  <si>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</si>
  <si>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</si>
  <si>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</si>
  <si>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</si>
  <si>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</si>
  <si>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</si>
  <si>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</si>
  <si>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</si>
  <si>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</si>
  <si>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</si>
  <si>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</si>
  <si>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</si>
  <si>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</si>
  <si>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</si>
  <si>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</si>
  <si>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</si>
  <si>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</si>
  <si>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</si>
  <si>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</si>
  <si>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</si>
  <si>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</si>
  <si>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</si>
  <si>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</si>
  <si>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</si>
  <si>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</si>
  <si>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</si>
  <si>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</si>
  <si>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</si>
  <si>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</si>
  <si>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</si>
  <si>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</si>
  <si>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</si>
  <si>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</si>
  <si>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</si>
  <si>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</si>
  <si>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</si>
  <si>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</si>
  <si>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</si>
  <si>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</si>
  <si>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</si>
  <si>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</si>
  <si>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</si>
  <si>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</si>
  <si>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</si>
  <si>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</si>
  <si>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</si>
  <si>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</si>
  <si>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</si>
  <si>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</si>
  <si>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</si>
  <si>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</si>
  <si>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</si>
  <si>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</si>
  <si>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</si>
  <si>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</si>
  <si>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</si>
  <si>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</si>
  <si>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</si>
  <si>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</si>
  <si>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</si>
  <si>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</si>
  <si>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</si>
  <si>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</si>
  <si>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</si>
  <si>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</si>
  <si>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</si>
  <si>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</si>
  <si>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</si>
  <si>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</si>
  <si>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</si>
  <si>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</si>
  <si>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</si>
  <si>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</si>
  <si>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</si>
  <si>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</si>
  <si>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</si>
  <si>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</si>
  <si>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</si>
  <si>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</si>
  <si>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</si>
  <si>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</si>
  <si>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</si>
  <si>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</si>
  <si>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</si>
  <si>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</si>
  <si>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</si>
  <si>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</si>
  <si>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</si>
  <si>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</si>
  <si>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</si>
  <si>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</si>
  <si>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</si>
  <si>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</si>
  <si>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</si>
  <si>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</si>
  <si>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</si>
  <si>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</si>
  <si>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</si>
  <si>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</si>
  <si>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</si>
  <si>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</si>
  <si>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</si>
  <si>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</si>
  <si>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</si>
  <si>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</si>
  <si>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</si>
  <si>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</si>
  <si>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</si>
  <si>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</si>
  <si>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</si>
  <si>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</si>
  <si>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</si>
  <si>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</si>
  <si>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</si>
  <si>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</si>
  <si>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</si>
  <si>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</si>
  <si>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</si>
  <si>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</si>
  <si>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</si>
  <si>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</si>
  <si>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</si>
  <si>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</si>
  <si>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</si>
  <si>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</si>
  <si>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</si>
  <si>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</si>
  <si>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</si>
  <si>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</si>
  <si>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</si>
  <si>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</si>
  <si>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</si>
  <si>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</si>
  <si>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</si>
  <si>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</si>
  <si>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</si>
  <si>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</si>
  <si>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</si>
  <si>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</si>
  <si>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</si>
  <si>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</si>
  <si>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</si>
  <si>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</si>
  <si>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</si>
  <si>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</si>
  <si>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</si>
  <si>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</si>
  <si>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</si>
  <si>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</si>
  <si>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</si>
  <si>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</si>
  <si>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</si>
  <si>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</si>
  <si>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</si>
  <si>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</si>
  <si>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</si>
  <si>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</si>
  <si>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</si>
  <si>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</si>
  <si>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</si>
  <si>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</si>
  <si>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</si>
  <si>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</si>
  <si>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</si>
  <si>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</si>
  <si>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</si>
  <si>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</si>
  <si>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</si>
  <si>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</si>
  <si>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</si>
  <si>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</si>
  <si>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</si>
  <si>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</si>
  <si>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</si>
  <si>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</si>
  <si>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</si>
  <si>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</si>
  <si>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</si>
  <si>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</si>
  <si>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</si>
  <si>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</si>
  <si>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</si>
  <si>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</si>
  <si>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</si>
  <si>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</si>
  <si>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</si>
  <si>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</si>
  <si>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</si>
  <si>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</si>
  <si>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</si>
  <si>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</si>
  <si>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</si>
  <si>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</si>
  <si>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</si>
  <si>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</si>
  <si>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</si>
  <si>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</si>
  <si>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</si>
  <si>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</si>
  <si>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</si>
  <si>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</si>
  <si>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</si>
  <si>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</si>
  <si>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</si>
  <si>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</si>
  <si>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</si>
  <si>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</si>
  <si>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</si>
  <si>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</si>
  <si>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</si>
  <si>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</si>
  <si>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</si>
  <si>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</si>
  <si>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</si>
  <si>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</si>
  <si>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</si>
  <si>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</si>
  <si>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</si>
  <si>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</si>
  <si>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</si>
  <si>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</si>
  <si>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</si>
  <si>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</si>
  <si>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</si>
  <si>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</si>
  <si>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</si>
  <si>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</si>
  <si>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</si>
  <si>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</si>
  <si>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</si>
  <si>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</si>
  <si>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</si>
  <si>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</si>
  <si>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</si>
  <si>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</si>
  <si>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</si>
  <si>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</si>
  <si>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</si>
  <si>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</si>
  <si>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</si>
  <si>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</si>
  <si>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</si>
  <si>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</si>
  <si>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</si>
  <si>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</si>
  <si>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</si>
  <si>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</si>
  <si>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</si>
  <si>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</si>
  <si>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</si>
  <si>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</si>
  <si>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</si>
  <si>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</si>
  <si>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</si>
  <si>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</si>
  <si>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</si>
  <si>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</si>
  <si>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</si>
  <si>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</si>
  <si>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</si>
  <si>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</si>
  <si>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</si>
  <si>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</si>
  <si>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</si>
  <si>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</si>
  <si>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</si>
  <si>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</si>
  <si>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</si>
  <si>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</si>
  <si>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</si>
  <si>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</si>
  <si>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</si>
  <si>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</si>
  <si>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</si>
  <si>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</si>
  <si>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</si>
  <si>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</si>
  <si>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</si>
  <si>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</si>
  <si>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</si>
  <si>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</si>
  <si>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</si>
  <si>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</si>
  <si>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</si>
  <si>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</si>
  <si>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</si>
  <si>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</si>
  <si>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</si>
  <si>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</si>
  <si>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</si>
  <si>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</si>
  <si>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</si>
  <si>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</si>
  <si>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</si>
  <si>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</si>
  <si>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</si>
  <si>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</si>
  <si>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</si>
  <si>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</si>
  <si>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</si>
  <si>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</si>
  <si>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</si>
  <si>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</si>
  <si>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</si>
  <si>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</si>
  <si>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</si>
  <si>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</si>
  <si>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</si>
  <si>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</si>
  <si>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</si>
  <si>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</si>
  <si>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</si>
  <si>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</si>
  <si>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</si>
  <si>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</si>
  <si>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</si>
  <si>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</si>
  <si>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</si>
  <si>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</si>
  <si>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</si>
  <si>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</si>
  <si>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</si>
  <si>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</si>
  <si>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</si>
  <si>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</si>
  <si>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</si>
  <si>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</si>
  <si>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</si>
  <si>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</si>
  <si>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</si>
  <si>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</si>
  <si>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</si>
  <si>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</si>
  <si>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</si>
  <si>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</si>
  <si>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</si>
  <si>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</si>
  <si>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</si>
  <si>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</si>
  <si>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</si>
  <si>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</si>
  <si>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</si>
  <si>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</si>
  <si>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</si>
  <si>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</si>
  <si>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</si>
  <si>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</si>
  <si>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</si>
  <si>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</si>
  <si>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</si>
  <si>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</si>
  <si>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</si>
  <si>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</si>
  <si>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</si>
  <si>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</si>
  <si>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</si>
  <si>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</si>
  <si>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</si>
  <si>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</si>
  <si>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</si>
  <si>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</si>
  <si>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</si>
  <si>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</si>
  <si>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</si>
  <si>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</si>
  <si>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</si>
  <si>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</si>
  <si>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</si>
  <si>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</si>
  <si>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</si>
  <si>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</si>
  <si>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</si>
  <si>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</si>
  <si>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</si>
  <si>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</si>
  <si>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</si>
  <si>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</si>
  <si>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</si>
  <si>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</si>
  <si>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</si>
  <si>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</si>
  <si>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</si>
  <si>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</si>
  <si>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</si>
  <si>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</si>
  <si>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</si>
  <si>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</si>
  <si>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</si>
  <si>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</si>
  <si>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</si>
  <si>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</si>
  <si>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</si>
  <si>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</si>
  <si>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</si>
  <si>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</si>
  <si>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</si>
  <si>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</si>
  <si>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</si>
  <si>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</si>
  <si>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</si>
  <si>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</si>
  <si>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</si>
  <si>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</si>
  <si>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</si>
  <si>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</si>
  <si>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</si>
  <si>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</si>
  <si>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</si>
  <si>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</si>
  <si>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</si>
  <si>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</si>
  <si>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</si>
  <si>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</si>
  <si>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</si>
  <si>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</si>
  <si>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</si>
  <si>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</si>
  <si>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</si>
  <si>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</si>
  <si>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</si>
  <si>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</si>
  <si>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</si>
  <si>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</si>
  <si>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</si>
  <si>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</si>
  <si>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</si>
  <si>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</si>
  <si>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</si>
  <si>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</si>
  <si>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</si>
  <si>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</si>
  <si>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</si>
  <si>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</si>
  <si>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</si>
  <si>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</si>
  <si>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</si>
  <si>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</si>
  <si>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</si>
  <si>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</si>
  <si>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</si>
  <si>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</si>
  <si>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</si>
  <si>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</si>
  <si>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</si>
  <si>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</si>
  <si>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</si>
  <si>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</si>
  <si>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</si>
  <si>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</si>
  <si>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</si>
  <si>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</si>
  <si>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</si>
  <si>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</si>
  <si>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</si>
  <si>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</si>
  <si>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</si>
  <si>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</si>
  <si>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</si>
  <si>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</si>
  <si>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</si>
  <si>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</si>
  <si>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</si>
  <si>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</si>
  <si>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</si>
  <si>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</si>
  <si>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</si>
  <si>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</si>
  <si>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</si>
  <si>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</si>
  <si>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</si>
  <si>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</si>
  <si>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</si>
  <si>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</si>
  <si>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</si>
  <si>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</si>
  <si>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</si>
  <si>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</si>
  <si>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</si>
  <si>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</si>
  <si>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</si>
  <si>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</si>
  <si>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</si>
  <si>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</si>
  <si>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</si>
  <si>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</si>
  <si>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</si>
  <si>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</si>
  <si>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</si>
  <si>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</si>
  <si>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</si>
  <si>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</si>
  <si>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</si>
  <si>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</si>
  <si>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</si>
  <si>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</si>
  <si>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</si>
  <si>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</si>
  <si>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</si>
  <si>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</si>
  <si>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</si>
  <si>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</si>
  <si>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</si>
  <si>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</si>
  <si>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</si>
  <si>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</si>
  <si>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</si>
  <si>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</si>
  <si>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</si>
  <si>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</si>
  <si>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</si>
  <si>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</si>
  <si>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</si>
  <si>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</si>
  <si>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</si>
  <si>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</si>
  <si>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</si>
  <si>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</si>
  <si>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</si>
  <si>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</si>
  <si>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</si>
  <si>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</si>
  <si>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</si>
  <si>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</si>
  <si>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</si>
  <si>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</si>
  <si>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</si>
  <si>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</si>
  <si>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</si>
  <si>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</si>
  <si>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</si>
  <si>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</si>
  <si>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</si>
  <si>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</si>
  <si>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</si>
  <si>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</si>
  <si>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</si>
  <si>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</si>
  <si>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</si>
  <si>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</si>
  <si>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</si>
  <si>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</si>
  <si>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</si>
  <si>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</si>
  <si>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</si>
  <si>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</si>
  <si>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</si>
  <si>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</si>
  <si>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</si>
  <si>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</si>
  <si>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</si>
  <si>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</si>
  <si>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</si>
  <si>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</si>
  <si>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</si>
  <si>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</si>
  <si>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</si>
  <si>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</si>
  <si>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</si>
  <si>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</si>
  <si>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</si>
  <si>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</si>
  <si>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</si>
  <si>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</si>
  <si>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</si>
  <si>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</si>
  <si>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</si>
  <si>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</si>
  <si>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</si>
  <si>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</si>
  <si>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</si>
  <si>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</si>
  <si>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</si>
  <si>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</si>
  <si>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</si>
  <si>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</si>
  <si>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</si>
  <si>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</si>
  <si>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</si>
  <si>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</si>
  <si>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</si>
  <si>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</si>
  <si>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</si>
  <si>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</si>
  <si>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</si>
  <si>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</si>
  <si>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</si>
  <si>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</si>
  <si>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</si>
  <si>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</si>
  <si>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</si>
  <si>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</si>
  <si>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</si>
  <si>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</si>
  <si>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</si>
  <si>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</si>
  <si>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</si>
  <si>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</si>
  <si>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</si>
  <si>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</si>
  <si>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</si>
  <si>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</si>
  <si>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</si>
  <si>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</si>
  <si>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</si>
  <si>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</si>
  <si>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</si>
  <si>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</si>
  <si>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</si>
  <si>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</si>
  <si>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</si>
  <si>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</si>
  <si>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</si>
  <si>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</si>
  <si>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</si>
  <si>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</si>
  <si>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</si>
  <si>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</si>
  <si>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</si>
  <si>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</si>
  <si>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</si>
  <si>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</si>
  <si>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</si>
  <si>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</si>
  <si>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</si>
  <si>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</si>
  <si>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</si>
  <si>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</si>
  <si>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</si>
  <si>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</si>
  <si>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</si>
  <si>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</si>
  <si>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</si>
  <si>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</si>
  <si>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</si>
  <si>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</si>
  <si>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</si>
  <si>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</si>
  <si>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</si>
  <si>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</si>
  <si>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</si>
  <si>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</si>
  <si>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</si>
  <si>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</si>
  <si>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</si>
  <si>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</si>
  <si>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</si>
  <si>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</si>
  <si>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</si>
  <si>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</si>
  <si>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</si>
  <si>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</si>
  <si>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</si>
  <si>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</si>
  <si>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</si>
  <si>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</si>
  <si>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</si>
  <si>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</si>
  <si>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</si>
  <si>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</si>
  <si>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</si>
  <si>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</si>
  <si>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</si>
  <si>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</si>
  <si>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</si>
  <si>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</si>
  <si>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</si>
  <si>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</si>
  <si>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</si>
  <si>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</si>
  <si>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</si>
  <si>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</si>
  <si>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</si>
  <si>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</si>
  <si>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</si>
  <si>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</si>
  <si>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</si>
  <si>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</si>
  <si>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</si>
  <si>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</si>
  <si>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</si>
  <si>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</si>
  <si>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</si>
  <si>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</si>
  <si>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</si>
  <si>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</si>
  <si>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</si>
  <si>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</si>
  <si>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</si>
  <si>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</si>
  <si>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</si>
  <si>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</si>
  <si>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</si>
  <si>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</si>
  <si>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</si>
  <si>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</si>
  <si>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</si>
  <si>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</si>
  <si>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</si>
  <si>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</si>
  <si>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</si>
  <si>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</si>
  <si>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</si>
  <si>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</si>
  <si>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</si>
  <si>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</si>
  <si>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</si>
  <si>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</si>
  <si>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</si>
  <si>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</si>
  <si>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</si>
  <si>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</si>
  <si>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</si>
  <si>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</si>
  <si>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</si>
  <si>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</si>
  <si>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</si>
  <si>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</si>
  <si>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</si>
  <si>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</si>
  <si>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</si>
  <si>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</si>
  <si>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</si>
  <si>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</si>
  <si>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</si>
  <si>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</si>
  <si>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</si>
  <si>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</si>
  <si>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</si>
  <si>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</si>
  <si>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</si>
  <si>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</si>
  <si>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</si>
  <si>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</si>
  <si>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</si>
  <si>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</si>
  <si>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</si>
  <si>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</si>
  <si>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</si>
  <si>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</si>
  <si>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</si>
  <si>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</si>
  <si>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</si>
  <si>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</si>
  <si>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</si>
  <si>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</si>
  <si>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</si>
  <si>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</si>
  <si>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</si>
  <si>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</si>
  <si>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</si>
  <si>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</si>
  <si>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</si>
  <si>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</si>
  <si>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</si>
  <si>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</si>
  <si>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</si>
  <si>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</si>
  <si>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</si>
  <si>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</si>
  <si>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</si>
  <si>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</si>
  <si>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</si>
  <si>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</si>
  <si>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</si>
  <si>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</si>
  <si>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</si>
  <si>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</si>
  <si>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</si>
  <si>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</si>
  <si>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</si>
  <si>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</si>
  <si>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</si>
  <si>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</si>
  <si>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</si>
  <si>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</si>
  <si>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</si>
  <si>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</si>
  <si>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</si>
  <si>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</si>
  <si>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</si>
  <si>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</si>
  <si>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</si>
  <si>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</si>
  <si>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</si>
  <si>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</si>
  <si>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</si>
  <si>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</si>
  <si>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</si>
  <si>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</si>
  <si>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</si>
  <si>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</si>
  <si>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</si>
  <si>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</si>
  <si>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</si>
  <si>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</si>
  <si>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</si>
  <si>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</si>
  <si>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</si>
  <si>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</si>
  <si>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</si>
  <si>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</si>
  <si>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</si>
  <si>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</si>
  <si>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</si>
  <si>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</si>
  <si>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</si>
  <si>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</si>
  <si>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</si>
  <si>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</si>
  <si>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</si>
  <si>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</si>
  <si>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</si>
  <si>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</si>
  <si>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</si>
  <si>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</si>
  <si>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</si>
  <si>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</si>
  <si>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</si>
  <si>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</si>
  <si>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</si>
  <si>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</si>
  <si>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</si>
  <si>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</si>
  <si>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</si>
  <si>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</si>
  <si>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</si>
  <si>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</si>
  <si>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</si>
  <si>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</si>
  <si>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</si>
  <si>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</si>
  <si>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</si>
  <si>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</si>
  <si>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</si>
  <si>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</si>
  <si>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</si>
  <si>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</si>
  <si>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</si>
  <si>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</si>
  <si>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</si>
  <si>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</si>
  <si>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</si>
  <si>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</si>
  <si>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</si>
  <si>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</si>
  <si>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</si>
  <si>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</si>
  <si>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</si>
  <si>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</si>
  <si>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</si>
  <si>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</si>
  <si>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</si>
  <si>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</si>
  <si>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</si>
  <si>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</si>
  <si>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</si>
  <si>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</si>
  <si>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</si>
  <si>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</si>
  <si>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</si>
  <si>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</si>
  <si>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</si>
  <si>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</si>
  <si>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</si>
  <si>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</si>
  <si>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</si>
  <si>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</si>
  <si>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</si>
  <si>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</si>
  <si>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</si>
  <si>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</si>
  <si>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</si>
  <si>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</si>
  <si>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</si>
  <si>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</si>
  <si>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</si>
  <si>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</si>
  <si>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</si>
  <si>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</si>
  <si>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</si>
  <si>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</si>
  <si>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</si>
  <si>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</si>
  <si>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</si>
  <si>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</si>
  <si>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</si>
  <si>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</si>
  <si>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</si>
  <si>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</si>
  <si>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</si>
  <si>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</si>
  <si>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</si>
  <si>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</si>
  <si>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</si>
  <si>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</si>
  <si>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</si>
  <si>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</si>
  <si>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</si>
  <si>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</si>
  <si>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</si>
  <si>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</si>
  <si>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</si>
  <si>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</si>
  <si>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</si>
  <si>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</si>
  <si>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</si>
  <si>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</si>
  <si>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</si>
  <si>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</si>
  <si>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</si>
  <si>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</si>
  <si>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</si>
  <si>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</si>
  <si>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</si>
  <si>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</si>
  <si>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</si>
  <si>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</si>
  <si>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</si>
  <si>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</si>
  <si>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</si>
  <si>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</si>
  <si>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</si>
  <si>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</si>
  <si>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</si>
  <si>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</si>
  <si>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</si>
  <si>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</si>
  <si>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</si>
  <si>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</si>
  <si>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</si>
  <si>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</si>
  <si>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</si>
  <si>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</si>
  <si>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</si>
  <si>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</si>
  <si>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</si>
  <si>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</si>
  <si>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</si>
  <si>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</si>
  <si>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</si>
  <si>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</si>
  <si>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</si>
  <si>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</si>
  <si>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</si>
  <si>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</si>
  <si>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</si>
  <si>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</si>
  <si>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</si>
  <si>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</si>
  <si>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</si>
  <si>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</si>
  <si>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</si>
  <si>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</si>
  <si>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</si>
  <si>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</si>
  <si>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</si>
  <si>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</si>
  <si>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</si>
  <si>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</si>
  <si>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</si>
  <si>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</si>
  <si>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</si>
  <si>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</si>
  <si>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</si>
  <si>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</si>
  <si>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</si>
  <si>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</si>
  <si>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</si>
  <si>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</si>
  <si>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</si>
  <si>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</si>
  <si>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</si>
  <si>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</si>
  <si>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</si>
  <si>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</si>
  <si>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</si>
  <si>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</si>
  <si>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</si>
  <si>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</si>
  <si>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</si>
  <si>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</si>
  <si>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</si>
  <si>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</si>
  <si>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</si>
  <si>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</si>
  <si>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</si>
  <si>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</si>
  <si>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</si>
  <si>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</si>
  <si>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</si>
  <si>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</si>
  <si>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</si>
  <si>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</si>
  <si>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</si>
  <si>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</si>
  <si>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</si>
  <si>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</si>
  <si>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</si>
  <si>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</si>
  <si>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</si>
  <si>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</si>
  <si>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</si>
  <si>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</si>
  <si>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</si>
  <si>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</si>
  <si>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</si>
  <si>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</si>
  <si>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</si>
  <si>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</si>
  <si>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</si>
  <si>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</si>
  <si>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</si>
  <si>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</si>
  <si>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</si>
  <si>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</si>
  <si>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</si>
  <si>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</si>
  <si>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</si>
  <si>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</si>
  <si>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</si>
  <si>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</si>
  <si>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</si>
  <si>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</si>
  <si>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</si>
  <si>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</si>
  <si>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</si>
  <si>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</si>
  <si>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</si>
  <si>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</si>
  <si>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</si>
  <si>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</si>
  <si>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</si>
  <si>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</si>
  <si>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</si>
  <si>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</si>
  <si>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</si>
  <si>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</si>
  <si>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</si>
  <si>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</si>
  <si>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</si>
  <si>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</si>
  <si>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</si>
  <si>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</si>
  <si>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</si>
  <si>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</si>
  <si>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</si>
  <si>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</si>
  <si>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</si>
  <si>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</si>
  <si>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</si>
  <si>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</si>
  <si>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</si>
  <si>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</si>
  <si>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</si>
  <si>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</si>
  <si>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</si>
  <si>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</si>
  <si>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</si>
  <si>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</si>
  <si>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</si>
  <si>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</si>
  <si>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</si>
  <si>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</si>
  <si>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</si>
  <si>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</si>
  <si>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</si>
  <si>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</si>
  <si>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</si>
  <si>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</si>
  <si>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</si>
  <si>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</si>
  <si>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</si>
  <si>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</si>
  <si>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</si>
  <si>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</si>
  <si>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</si>
  <si>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</si>
  <si>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</si>
  <si>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</si>
  <si>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</si>
  <si>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</si>
  <si>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</si>
  <si>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</si>
  <si>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</si>
  <si>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</si>
  <si>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</si>
  <si>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</si>
  <si>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</si>
  <si>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</si>
  <si>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</si>
  <si>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</si>
  <si>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</si>
  <si>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</si>
  <si>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</si>
  <si>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</si>
  <si>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</si>
  <si>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</si>
  <si>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</si>
  <si>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</si>
  <si>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</si>
  <si>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</si>
  <si>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</si>
  <si>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</si>
  <si>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</si>
  <si>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</si>
  <si>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</si>
  <si>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</si>
  <si>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</si>
  <si>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</si>
  <si>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</si>
  <si>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</si>
  <si>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</si>
  <si>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</si>
  <si>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</si>
  <si>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</si>
  <si>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</si>
  <si>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</si>
  <si>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</si>
  <si>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</si>
  <si>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</si>
  <si>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</si>
  <si>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</si>
  <si>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</si>
  <si>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</si>
  <si>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</si>
  <si>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</si>
  <si>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</si>
  <si>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</si>
  <si>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</si>
  <si>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</si>
  <si>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</si>
  <si>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</si>
  <si>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</si>
  <si>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</si>
  <si>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</si>
  <si>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</si>
  <si>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</si>
  <si>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</si>
  <si>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</si>
  <si>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</si>
  <si>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</si>
  <si>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</si>
  <si>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</si>
  <si>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</si>
  <si>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</si>
  <si>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</si>
  <si>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</si>
  <si>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</si>
  <si>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</si>
  <si>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</si>
  <si>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</si>
  <si>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</si>
  <si>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</si>
  <si>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</si>
  <si>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</si>
  <si>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</si>
  <si>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</si>
  <si>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</si>
  <si>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</si>
  <si>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</si>
  <si>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</si>
  <si>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</si>
  <si>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</si>
  <si>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</si>
  <si>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</si>
  <si>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</si>
  <si>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</si>
  <si>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</si>
  <si>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</si>
  <si>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</si>
  <si>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</si>
  <si>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</si>
  <si>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</si>
  <si>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</si>
  <si>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</si>
  <si>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</si>
  <si>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</si>
  <si>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</si>
  <si>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</si>
  <si>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</si>
  <si>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</si>
  <si>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</si>
  <si>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</si>
  <si>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</si>
  <si>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</si>
  <si>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</si>
  <si>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</si>
  <si>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</si>
  <si>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</si>
  <si>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</si>
  <si>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</si>
  <si>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</si>
  <si>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</si>
  <si>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</si>
  <si>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</si>
  <si>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</si>
  <si>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</si>
  <si>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</si>
  <si>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</si>
  <si>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</si>
  <si>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</si>
  <si>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</si>
  <si>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</si>
  <si>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</si>
  <si>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</si>
  <si>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</si>
  <si>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</si>
  <si>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</si>
  <si>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</si>
  <si>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</si>
  <si>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</si>
  <si>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</si>
  <si>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</si>
  <si>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</si>
  <si>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</si>
  <si>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</si>
  <si>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</si>
  <si>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</si>
  <si>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</si>
  <si>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</si>
  <si>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</si>
  <si>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</si>
  <si>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</si>
  <si>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</si>
  <si>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</si>
  <si>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</si>
  <si>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</si>
  <si>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</si>
  <si>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</si>
  <si>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</si>
  <si>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</si>
  <si>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</si>
  <si>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</si>
  <si>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</si>
  <si>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</si>
  <si>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</si>
  <si>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</si>
  <si>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</si>
  <si>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</si>
  <si>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</si>
  <si>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</si>
  <si>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</si>
  <si>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</si>
  <si>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</si>
  <si>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</si>
  <si>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</si>
  <si>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</si>
  <si>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</si>
  <si>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</si>
  <si>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</si>
  <si>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</si>
  <si>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</si>
  <si>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</si>
  <si>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</si>
  <si>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</si>
  <si>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</si>
  <si>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</si>
  <si>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</si>
  <si>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</si>
  <si>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</si>
  <si>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</si>
  <si>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</si>
  <si>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</si>
  <si>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</si>
  <si>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</si>
  <si>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</si>
  <si>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</si>
  <si>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</si>
  <si>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</si>
  <si>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</si>
  <si>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</si>
  <si>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</si>
  <si>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</si>
  <si>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</si>
  <si>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</si>
  <si>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</si>
  <si>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</si>
  <si>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</si>
  <si>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</si>
  <si>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</si>
  <si>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</si>
  <si>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</si>
  <si>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</si>
  <si>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</si>
  <si>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</si>
  <si>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</si>
  <si>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</si>
  <si>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</si>
  <si>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</si>
  <si>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</si>
  <si>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</si>
  <si>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</si>
  <si>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</si>
  <si>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</si>
  <si>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</si>
  <si>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</si>
  <si>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</si>
  <si>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</si>
  <si>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</si>
  <si>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</si>
  <si>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</si>
  <si>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</si>
  <si>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</si>
  <si>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</si>
  <si>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</si>
  <si>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</si>
  <si>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</si>
  <si>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</si>
  <si>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</si>
  <si>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</si>
  <si>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</si>
  <si>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</si>
  <si>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</si>
  <si>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</si>
  <si>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</si>
  <si>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</si>
  <si>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</si>
  <si>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</si>
  <si>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</si>
  <si>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</si>
  <si>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</si>
  <si>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</si>
  <si>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</si>
  <si>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</si>
  <si>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</si>
  <si>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</si>
  <si>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</si>
  <si>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</si>
  <si>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</si>
  <si>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</si>
  <si>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</si>
  <si>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</si>
  <si>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</si>
  <si>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</si>
  <si>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</si>
  <si>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</si>
  <si>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</si>
  <si>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</si>
  <si>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</si>
  <si>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</si>
  <si>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</si>
  <si>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</si>
  <si>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</si>
  <si>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</si>
  <si>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</si>
  <si>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</si>
  <si>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</si>
  <si>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</si>
  <si>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</si>
  <si>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</si>
  <si>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</si>
  <si>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</si>
  <si>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</si>
  <si>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</si>
  <si>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</si>
  <si>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</si>
  <si>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</si>
  <si>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</si>
  <si>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</si>
  <si>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</si>
  <si>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</si>
  <si>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</si>
  <si>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</si>
  <si>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</si>
  <si>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</si>
  <si>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</si>
  <si>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</si>
  <si>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</si>
  <si>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</si>
  <si>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</si>
  <si>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</si>
  <si>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</si>
  <si>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</si>
  <si>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</si>
  <si>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</si>
  <si>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</si>
  <si>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</si>
  <si>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</si>
  <si>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</si>
  <si>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</si>
  <si>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</si>
  <si>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</si>
  <si>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</si>
  <si>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</si>
  <si>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</si>
  <si>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</si>
  <si>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</si>
  <si>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</si>
  <si>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</si>
  <si>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</si>
  <si>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</si>
  <si>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</si>
  <si>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</si>
  <si>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</si>
  <si>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</si>
  <si>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</si>
  <si>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</si>
  <si>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</si>
  <si>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</si>
  <si>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</si>
  <si>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</si>
  <si>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</si>
  <si>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</si>
  <si>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</si>
  <si>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</si>
  <si>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</si>
  <si>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</si>
  <si>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</si>
  <si>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</si>
  <si>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</si>
  <si>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</si>
  <si>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</si>
  <si>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</si>
  <si>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</si>
  <si>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</si>
  <si>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</si>
  <si>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</si>
  <si>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</si>
  <si>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</si>
  <si>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</si>
  <si>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</si>
  <si>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</si>
  <si>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</si>
  <si>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</si>
  <si>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</si>
  <si>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</si>
  <si>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</si>
  <si>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</si>
  <si>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</si>
  <si>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</si>
  <si>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</si>
  <si>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</si>
  <si>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</si>
  <si>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</si>
  <si>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</si>
  <si>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</si>
  <si>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</si>
  <si>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</si>
  <si>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</si>
  <si>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</si>
  <si>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</si>
  <si>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</si>
  <si>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</si>
  <si>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</si>
  <si>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</si>
  <si>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</si>
  <si>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</si>
  <si>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</si>
  <si>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</si>
  <si>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</si>
  <si>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</si>
  <si>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</si>
  <si>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</si>
  <si>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</si>
  <si>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</si>
  <si>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</si>
  <si>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</si>
  <si>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</si>
  <si>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</si>
  <si>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</si>
  <si>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</si>
  <si>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</si>
  <si>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</si>
  <si>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</si>
  <si>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</si>
  <si>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</si>
  <si>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</si>
  <si>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</si>
  <si>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</si>
  <si>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</si>
  <si>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</si>
  <si>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</si>
  <si>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</si>
  <si>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</si>
  <si>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</si>
  <si>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</si>
  <si>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</si>
  <si>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</si>
  <si>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</si>
  <si>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</si>
  <si>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</si>
  <si>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</si>
  <si>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</si>
  <si>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</si>
  <si>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</si>
  <si>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</si>
  <si>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</si>
  <si>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</si>
  <si>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</si>
  <si>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</si>
  <si>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</si>
  <si>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</si>
  <si>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</si>
  <si>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</si>
  <si>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</si>
  <si>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</si>
  <si>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</si>
  <si>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</si>
  <si>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</si>
  <si>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</si>
  <si>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</si>
  <si>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</si>
  <si>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</si>
  <si>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</si>
  <si>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</si>
  <si>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</si>
  <si>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</si>
  <si>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</si>
  <si>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</si>
  <si>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</si>
  <si>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</si>
  <si>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</si>
  <si>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</si>
  <si>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</si>
  <si>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</si>
  <si>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</si>
  <si>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</si>
  <si>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</si>
  <si>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</si>
  <si>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</si>
  <si>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</si>
  <si>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</si>
  <si>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</si>
  <si>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</si>
  <si>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</si>
  <si>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</si>
  <si>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</si>
  <si>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</si>
  <si>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</si>
  <si>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</si>
  <si>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</si>
  <si>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</si>
  <si>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</si>
  <si>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</si>
  <si>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</si>
  <si>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</si>
  <si>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</si>
  <si>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</si>
  <si>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</si>
  <si>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</si>
  <si>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</si>
  <si>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</si>
  <si>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</si>
  <si>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</si>
  <si>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</si>
  <si>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</si>
  <si>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</si>
  <si>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</si>
  <si>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</si>
  <si>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</si>
  <si>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</si>
  <si>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</si>
  <si>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</si>
  <si>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</si>
  <si>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</si>
  <si>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</si>
  <si>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</si>
  <si>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</si>
  <si>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</si>
  <si>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</si>
  <si>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</si>
  <si>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</si>
  <si>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</si>
  <si>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</si>
  <si>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</si>
  <si>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</si>
  <si>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</si>
  <si>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</si>
  <si>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</si>
  <si>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</si>
  <si>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</si>
  <si>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</si>
  <si>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</si>
  <si>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</si>
  <si>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</si>
  <si>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</si>
  <si>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</si>
  <si>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</si>
  <si>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</si>
  <si>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</si>
  <si>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</si>
  <si>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</si>
  <si>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</si>
  <si>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</si>
  <si>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</si>
  <si>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</si>
  <si>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</si>
  <si>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</si>
  <si>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</si>
  <si>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</si>
  <si>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</si>
  <si>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</si>
  <si>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</si>
  <si>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</si>
  <si>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</si>
  <si>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</si>
  <si>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</si>
  <si>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</si>
  <si>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</si>
  <si>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</si>
  <si>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</si>
  <si>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</si>
  <si>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</si>
  <si>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</si>
  <si>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</si>
  <si>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</si>
  <si>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</si>
  <si>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</si>
  <si>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</si>
  <si>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</si>
  <si>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</si>
  <si>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</si>
  <si>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</si>
  <si>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</si>
  <si>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</si>
  <si>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</si>
  <si>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</si>
  <si>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</si>
  <si>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</si>
  <si>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</si>
  <si>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</si>
  <si>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</si>
  <si>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</si>
  <si>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</si>
  <si>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</si>
  <si>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</si>
  <si>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</si>
  <si>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</si>
  <si>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</si>
  <si>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</si>
  <si>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</si>
  <si>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</si>
  <si>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</si>
  <si>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</si>
  <si>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</si>
  <si>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</si>
  <si>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</si>
  <si>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</si>
  <si>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</si>
  <si>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</si>
  <si>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</si>
  <si>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</si>
  <si>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</si>
  <si>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</si>
  <si>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</si>
  <si>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</si>
  <si>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</si>
  <si>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</si>
  <si>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</si>
  <si>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</si>
  <si>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</si>
  <si>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</si>
  <si>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</si>
  <si>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</si>
  <si>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</si>
  <si>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</si>
  <si>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</si>
  <si>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</si>
  <si>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</si>
  <si>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</si>
  <si>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</si>
  <si>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</si>
  <si>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</si>
  <si>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</si>
  <si>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</si>
  <si>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</si>
  <si>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</si>
  <si>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</si>
  <si>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</si>
  <si>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</si>
  <si>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</si>
  <si>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</si>
  <si>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</si>
  <si>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</si>
  <si>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</si>
  <si>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</si>
  <si>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</si>
  <si>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</si>
  <si>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</si>
  <si>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</si>
  <si>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</si>
  <si>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</si>
  <si>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</si>
  <si>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</si>
  <si>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</si>
  <si>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</si>
  <si>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</si>
  <si>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</si>
  <si>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</si>
  <si>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</si>
  <si>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</si>
  <si>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</si>
  <si>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</si>
  <si>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</si>
  <si>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</si>
  <si>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</si>
  <si>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</si>
  <si>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</si>
  <si>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</si>
  <si>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</si>
  <si>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</si>
  <si>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</si>
  <si>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</si>
  <si>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</si>
  <si>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</si>
  <si>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</si>
  <si>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</si>
  <si>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</si>
  <si>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</si>
  <si>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</si>
  <si>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</si>
  <si>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</si>
  <si>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</si>
  <si>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</si>
  <si>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</si>
  <si>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</si>
  <si>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</si>
  <si>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</si>
  <si>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</si>
  <si>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</si>
  <si>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</si>
  <si>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</si>
  <si>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</si>
  <si>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</si>
  <si>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</si>
  <si>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</si>
  <si>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</si>
  <si>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</si>
  <si>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</si>
  <si>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</si>
  <si>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</si>
  <si>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</si>
  <si>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</si>
  <si>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</si>
  <si>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</si>
  <si>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</si>
  <si>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</si>
  <si>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</si>
  <si>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</si>
  <si>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</si>
  <si>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</si>
  <si>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</si>
  <si>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</si>
  <si>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</si>
  <si>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</si>
  <si>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</si>
  <si>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</si>
  <si>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</si>
  <si>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</si>
  <si>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</si>
  <si>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</si>
  <si>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</si>
  <si>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</si>
  <si>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</si>
  <si>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</si>
  <si>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</si>
  <si>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</si>
  <si>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</si>
  <si>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</si>
  <si>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</si>
  <si>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</si>
  <si>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</si>
  <si>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</si>
  <si>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</si>
  <si>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</si>
  <si>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</si>
  <si>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</si>
  <si>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</si>
  <si>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</si>
  <si>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</si>
  <si>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</si>
  <si>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</si>
  <si>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</si>
  <si>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</si>
  <si>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</si>
  <si>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</si>
  <si>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</si>
  <si>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</si>
  <si>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</si>
  <si>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</si>
  <si>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</si>
  <si>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</si>
  <si>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</si>
  <si>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</si>
  <si>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</si>
  <si>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</si>
  <si>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</si>
  <si>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</si>
  <si>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</si>
  <si>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</si>
  <si>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</si>
  <si>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</si>
  <si>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</si>
  <si>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</si>
  <si>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</si>
  <si>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</si>
  <si>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</si>
  <si>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</si>
  <si>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</si>
  <si>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</si>
  <si>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</si>
  <si>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</si>
  <si>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</si>
  <si>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</si>
  <si>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</si>
  <si>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</si>
  <si>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</si>
  <si>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</si>
  <si>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</si>
  <si>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</si>
  <si>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</si>
  <si>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</si>
  <si>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</si>
  <si>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</si>
  <si>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</si>
  <si>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</si>
  <si>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</si>
  <si>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</si>
  <si>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</si>
  <si>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</si>
  <si>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</si>
  <si>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</si>
  <si>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</si>
  <si>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</si>
  <si>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</si>
  <si>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</si>
  <si>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</si>
  <si>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</si>
  <si>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</si>
  <si>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</si>
  <si>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</si>
  <si>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</si>
  <si>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</si>
  <si>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</si>
  <si>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</si>
  <si>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</si>
  <si>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</si>
  <si>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</si>
  <si>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</si>
  <si>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</si>
  <si>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</si>
  <si>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</si>
  <si>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</si>
  <si>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</si>
  <si>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</si>
  <si>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</si>
  <si>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</si>
  <si>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</si>
  <si>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</si>
  <si>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</si>
  <si>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</si>
  <si>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</si>
  <si>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</si>
  <si>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</si>
  <si>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</si>
  <si>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</si>
  <si>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</si>
  <si>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</si>
  <si>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</si>
  <si>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</si>
  <si>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</si>
  <si>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</si>
  <si>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</si>
  <si>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</si>
  <si>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</si>
  <si>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</si>
  <si>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</si>
  <si>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</si>
  <si>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</si>
  <si>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</si>
  <si>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</si>
  <si>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</si>
  <si>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</si>
  <si>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</si>
  <si>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</si>
  <si>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</si>
  <si>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</si>
  <si>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</si>
  <si>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</si>
  <si>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</si>
  <si>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</si>
  <si>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</si>
  <si>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</si>
  <si>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</si>
  <si>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</si>
  <si>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</si>
  <si>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</si>
  <si>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</si>
  <si>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</si>
  <si>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</si>
  <si>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</si>
  <si>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</si>
  <si>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</si>
  <si>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</si>
  <si>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</si>
  <si>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</si>
  <si>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</si>
  <si>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</si>
  <si>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</si>
  <si>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</si>
  <si>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</si>
  <si>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</si>
  <si>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</si>
  <si>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</si>
  <si>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</si>
  <si>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</si>
  <si>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</si>
  <si>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</si>
  <si>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</si>
  <si>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</si>
  <si>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</si>
  <si>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</si>
  <si>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</si>
  <si>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</si>
  <si>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</si>
  <si>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</si>
  <si>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</si>
  <si>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</si>
  <si>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</si>
  <si>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</si>
  <si>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</si>
  <si>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</si>
  <si>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</si>
  <si>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</si>
  <si>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</si>
  <si>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</si>
  <si>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</si>
  <si>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</si>
  <si>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</si>
  <si>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</si>
  <si>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</si>
  <si>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</si>
  <si>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</si>
  <si>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</si>
  <si>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</si>
  <si>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</si>
  <si>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</si>
  <si>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</si>
  <si>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</si>
  <si>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</si>
  <si>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</si>
  <si>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</si>
  <si>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</si>
  <si>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</si>
  <si>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</si>
  <si>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</si>
  <si>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</si>
  <si>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</si>
  <si>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</si>
  <si>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</si>
  <si>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</si>
  <si>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</si>
  <si>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</si>
  <si>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</si>
  <si>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</si>
  <si>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</si>
  <si>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</si>
  <si>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</si>
  <si>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</si>
  <si>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</si>
  <si>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</si>
  <si>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</si>
  <si>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</si>
  <si>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</si>
  <si>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</si>
  <si>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</si>
  <si>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</si>
  <si>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</si>
  <si>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</si>
  <si>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</si>
  <si>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</si>
  <si>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</si>
  <si>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</si>
  <si>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</si>
  <si>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</si>
  <si>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</si>
  <si>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</si>
  <si>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</si>
  <si>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</si>
  <si>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</si>
  <si>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</si>
  <si>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</si>
  <si>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</si>
  <si>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</si>
  <si>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</si>
  <si>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</si>
  <si>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</si>
  <si>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</si>
  <si>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</si>
  <si>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</si>
  <si>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</si>
  <si>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</si>
  <si>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</si>
  <si>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</si>
  <si>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</si>
  <si>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</si>
  <si>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</si>
  <si>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</si>
  <si>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</si>
  <si>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</si>
  <si>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</si>
  <si>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</si>
  <si>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</si>
  <si>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</si>
  <si>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</si>
  <si>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</si>
  <si>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</si>
  <si>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</si>
  <si>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</si>
  <si>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</si>
  <si>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</si>
  <si>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</si>
  <si>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</si>
  <si>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</si>
  <si>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</si>
  <si>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</si>
  <si>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</si>
  <si>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</si>
  <si>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</si>
  <si>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</si>
  <si>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</si>
  <si>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</si>
  <si>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</si>
  <si>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</si>
  <si>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</si>
  <si>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</si>
  <si>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</si>
  <si>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</si>
  <si>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</si>
  <si>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</si>
  <si>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</si>
  <si>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</si>
  <si>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</si>
  <si>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</si>
  <si>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</si>
  <si>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</si>
  <si>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</si>
  <si>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</si>
  <si>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</si>
  <si>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</si>
  <si>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</si>
  <si>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</si>
  <si>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</si>
  <si>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</si>
  <si>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</si>
  <si>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</si>
  <si>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</si>
  <si>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</si>
  <si>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</si>
  <si>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</si>
  <si>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</si>
  <si>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</si>
  <si>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</si>
  <si>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</si>
  <si>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</si>
  <si>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</si>
  <si>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</si>
  <si>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</si>
  <si>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</si>
  <si>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</si>
  <si>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</si>
  <si>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</si>
  <si>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</si>
  <si>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</si>
  <si>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</si>
  <si>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</si>
  <si>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</si>
  <si>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</si>
  <si>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</si>
  <si>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</si>
  <si>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</si>
  <si>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</si>
  <si>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</si>
  <si>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</si>
  <si>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</si>
  <si>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</si>
  <si>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</si>
  <si>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</si>
  <si>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</si>
  <si>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</si>
  <si>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</si>
  <si>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</si>
  <si>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</si>
  <si>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</si>
  <si>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</si>
  <si>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</si>
  <si>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</si>
  <si>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</si>
  <si>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</si>
  <si>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</si>
  <si>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</si>
  <si>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</si>
  <si>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</si>
  <si>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</si>
  <si>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</si>
  <si>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</si>
  <si>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</si>
  <si>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</si>
  <si>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</si>
  <si>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</si>
  <si>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</si>
  <si>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</si>
  <si>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</si>
  <si>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</si>
  <si>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</si>
  <si>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</si>
  <si>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</si>
  <si>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</si>
  <si>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</si>
  <si>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</si>
  <si>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</si>
  <si>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</si>
  <si>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</si>
  <si>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</si>
  <si>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</si>
  <si>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</si>
  <si>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</si>
  <si>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</si>
  <si>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</si>
  <si>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</si>
  <si>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</si>
  <si>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</si>
  <si>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</si>
  <si>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</si>
  <si>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</si>
  <si>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</si>
  <si>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</si>
  <si>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</si>
  <si>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</si>
  <si>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</si>
  <si>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</si>
  <si>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</si>
  <si>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</si>
  <si>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</si>
  <si>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</si>
  <si>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</si>
  <si>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</si>
  <si>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</si>
  <si>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</si>
  <si>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</si>
  <si>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</si>
  <si>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</si>
  <si>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</si>
  <si>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</si>
  <si>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</si>
  <si>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</si>
  <si>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</si>
  <si>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</si>
  <si>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</si>
  <si>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</si>
  <si>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</si>
  <si>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</si>
  <si>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</si>
  <si>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</si>
  <si>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</si>
  <si>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</si>
  <si>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</si>
  <si>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</si>
  <si>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</si>
  <si>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</si>
  <si>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</si>
  <si>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</si>
  <si>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</si>
  <si>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</si>
  <si>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</si>
  <si>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</si>
  <si>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</si>
  <si>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</si>
  <si>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</si>
  <si>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</si>
  <si>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</si>
  <si>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</si>
  <si>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</si>
  <si>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</si>
  <si>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</si>
  <si>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</si>
  <si>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</si>
  <si>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</si>
  <si>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</si>
  <si>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</si>
  <si>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</si>
  <si>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</si>
  <si>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</si>
  <si>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</si>
  <si>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</si>
  <si>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</si>
  <si>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</si>
  <si>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</si>
  <si>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</si>
  <si>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</si>
  <si>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</si>
  <si>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</si>
  <si>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</si>
  <si>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</si>
  <si>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</si>
  <si>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</si>
  <si>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</si>
  <si>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</si>
  <si>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</si>
  <si>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</si>
  <si>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</si>
  <si>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</si>
  <si>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</si>
  <si>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</si>
  <si>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</si>
  <si>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</si>
  <si>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</si>
  <si>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</si>
  <si>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</si>
  <si>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</si>
  <si>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</si>
  <si>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</si>
  <si>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</si>
  <si>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</si>
  <si>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</si>
  <si>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</si>
  <si>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</si>
  <si>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</si>
  <si>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</si>
  <si>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</si>
  <si>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</si>
  <si>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</si>
  <si>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</si>
  <si>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</si>
  <si>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</si>
  <si>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</si>
  <si>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</si>
  <si>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</si>
  <si>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</si>
  <si>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</si>
  <si>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</si>
  <si>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</si>
  <si>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</si>
  <si>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</si>
  <si>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</si>
  <si>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</si>
  <si>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</si>
  <si>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</si>
  <si>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</si>
  <si>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</si>
  <si>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</si>
  <si>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</si>
  <si>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</si>
  <si>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</si>
  <si>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</si>
  <si>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</si>
  <si>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</si>
  <si>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</si>
  <si>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</si>
  <si>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</si>
  <si>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</si>
  <si>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</si>
  <si>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</si>
  <si>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</si>
  <si>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</si>
  <si>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</si>
  <si>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</si>
  <si>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</si>
  <si>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</si>
  <si>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</si>
  <si>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</si>
  <si>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</si>
  <si>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</si>
  <si>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</si>
  <si>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</si>
  <si>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</si>
  <si>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</si>
  <si>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</si>
  <si>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</si>
  <si>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</si>
  <si>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</si>
  <si>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</si>
  <si>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</si>
  <si>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</si>
  <si>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</si>
  <si>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</si>
  <si>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</si>
  <si>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</si>
  <si>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</si>
  <si>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</si>
  <si>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</si>
  <si>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</si>
  <si>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</si>
  <si>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</si>
  <si>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</si>
  <si>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</si>
  <si>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</si>
  <si>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</si>
  <si>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</si>
  <si>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</si>
  <si>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</si>
  <si>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</si>
  <si>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</si>
  <si>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</si>
  <si>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</si>
  <si>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</si>
  <si>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</si>
  <si>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</si>
  <si>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</si>
  <si>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</si>
  <si>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</si>
  <si>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</si>
  <si>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</si>
  <si>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</si>
  <si>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</si>
  <si>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</si>
  <si>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</si>
  <si>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</si>
  <si>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</si>
  <si>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</si>
  <si>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</si>
  <si>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</si>
  <si>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</si>
  <si>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</si>
  <si>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</si>
  <si>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</si>
  <si>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</si>
  <si>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</si>
  <si>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</si>
  <si>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</si>
  <si>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</si>
  <si>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</si>
  <si>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</si>
  <si>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</si>
  <si>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</si>
  <si>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</si>
  <si>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</si>
  <si>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</si>
  <si>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</si>
  <si>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</si>
  <si>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</si>
  <si>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</si>
  <si>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</si>
  <si>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</si>
  <si>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</si>
  <si>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</si>
  <si>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</si>
  <si>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</si>
  <si>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</si>
  <si>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</si>
  <si>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</si>
  <si>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</si>
  <si>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</si>
  <si>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</si>
  <si>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</si>
  <si>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</si>
  <si>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</si>
  <si>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</si>
  <si>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</si>
  <si>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</si>
  <si>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</si>
  <si>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</si>
  <si>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</si>
  <si>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</si>
  <si>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</si>
  <si>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</si>
  <si>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</si>
  <si>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</si>
  <si>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</si>
  <si>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</si>
  <si>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</si>
  <si>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</si>
  <si>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</si>
  <si>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</si>
  <si>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</si>
  <si>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</si>
  <si>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</si>
  <si>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</si>
  <si>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</si>
  <si>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</si>
  <si>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</si>
  <si>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</si>
  <si>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</si>
  <si>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</si>
  <si>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</si>
  <si>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</si>
  <si>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</si>
  <si>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</si>
  <si>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</si>
  <si>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</si>
  <si>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</si>
  <si>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</si>
  <si>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</si>
  <si>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</si>
  <si>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</si>
  <si>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</si>
  <si>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</si>
  <si>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</si>
  <si>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</si>
  <si>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</si>
  <si>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</si>
  <si>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</si>
  <si>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</si>
  <si>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</si>
  <si>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</si>
  <si>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</si>
  <si>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</si>
  <si>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</si>
  <si>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</si>
  <si>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</si>
  <si>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</si>
  <si>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</si>
  <si>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</si>
  <si>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</si>
  <si>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</si>
  <si>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</si>
  <si>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</si>
  <si>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</si>
  <si>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</si>
  <si>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</si>
  <si>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</si>
  <si>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</si>
  <si>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</si>
  <si>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</si>
  <si>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</si>
  <si>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</si>
  <si>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</si>
  <si>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</si>
  <si>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</si>
  <si>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</si>
  <si>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</si>
  <si>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</si>
  <si>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</si>
  <si>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</si>
  <si>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</si>
  <si>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</si>
  <si>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</si>
  <si>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</si>
  <si>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</si>
  <si>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</si>
  <si>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</si>
  <si>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</si>
  <si>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</si>
  <si>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</si>
  <si>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</si>
  <si>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</si>
  <si>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</si>
  <si>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</si>
  <si>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</si>
  <si>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</si>
  <si>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</si>
  <si>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</si>
  <si>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</si>
  <si>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</si>
  <si>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</si>
  <si>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</si>
  <si>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</si>
  <si>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</si>
  <si>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</si>
  <si>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</si>
  <si>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</si>
  <si>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</si>
  <si>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</si>
  <si>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</si>
  <si>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</si>
  <si>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</si>
  <si>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</si>
  <si>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</si>
  <si>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</si>
  <si>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</si>
  <si>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</si>
  <si>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</si>
  <si>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</si>
  <si>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</si>
  <si>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</si>
  <si>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</si>
  <si>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</si>
  <si>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</si>
  <si>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</si>
  <si>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</si>
  <si>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</si>
  <si>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</si>
  <si>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</si>
  <si>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</si>
  <si>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</si>
  <si>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</si>
  <si>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</si>
  <si>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</si>
  <si>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</si>
  <si>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</si>
  <si>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</si>
  <si>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</si>
  <si>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</si>
  <si>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</si>
  <si>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</si>
  <si>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</si>
  <si>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</si>
  <si>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</si>
  <si>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</si>
  <si>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</si>
  <si>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</si>
  <si>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</si>
  <si>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</si>
  <si>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</si>
  <si>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</si>
  <si>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</si>
  <si>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</si>
  <si>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</si>
  <si>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</si>
  <si>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</si>
  <si>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</si>
  <si>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</si>
  <si>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</si>
  <si>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</si>
  <si>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</si>
  <si>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</si>
  <si>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</si>
  <si>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</si>
  <si>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</si>
  <si>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</si>
  <si>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</si>
  <si>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</si>
  <si>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</si>
  <si>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</si>
  <si>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</si>
  <si>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</si>
  <si>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</si>
  <si>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</si>
  <si>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</si>
  <si>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</si>
  <si>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</si>
  <si>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</si>
  <si>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</si>
  <si>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</si>
  <si>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</si>
  <si>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</si>
  <si>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</si>
  <si>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</si>
  <si>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</si>
  <si>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</si>
  <si>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</si>
  <si>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</si>
  <si>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</si>
  <si>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</si>
  <si>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</si>
  <si>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</si>
  <si>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</si>
  <si>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</si>
  <si>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</si>
  <si>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</si>
  <si>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</si>
  <si>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</si>
  <si>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</si>
  <si>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</si>
  <si>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</si>
  <si>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</si>
  <si>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</si>
  <si>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</si>
  <si>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</si>
  <si>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</si>
  <si>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</si>
  <si>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</si>
  <si>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</si>
  <si>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</si>
  <si>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</si>
  <si>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</si>
  <si>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</si>
  <si>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</si>
  <si>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</si>
  <si>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</si>
  <si>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</si>
  <si>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</si>
  <si>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</si>
  <si>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</si>
  <si>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</si>
  <si>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</si>
  <si>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</si>
  <si>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</si>
  <si>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</si>
  <si>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</si>
  <si>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</si>
  <si>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</si>
  <si>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</si>
  <si>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</si>
  <si>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</si>
  <si>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</si>
  <si>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</si>
  <si>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</si>
  <si>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</si>
  <si>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</si>
  <si>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</si>
  <si>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</si>
  <si>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</si>
  <si>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</si>
  <si>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</si>
  <si>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</si>
  <si>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</si>
  <si>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</si>
  <si>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</si>
  <si>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</si>
  <si>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</si>
  <si>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</si>
  <si>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</si>
  <si>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</si>
  <si>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</si>
  <si>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</si>
  <si>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</si>
  <si>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</si>
  <si>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</si>
  <si>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</si>
  <si>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</si>
  <si>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</si>
  <si>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</si>
  <si>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</si>
  <si>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</si>
  <si>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</si>
  <si>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</si>
  <si>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</si>
  <si>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</si>
  <si>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</si>
  <si>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</si>
  <si>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</si>
  <si>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</si>
  <si>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</si>
  <si>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</si>
  <si>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</si>
  <si>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</si>
  <si>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</si>
  <si>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</si>
  <si>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</si>
  <si>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</si>
  <si>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</si>
  <si>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</si>
  <si>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</si>
  <si>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</si>
  <si>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</si>
  <si>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</si>
  <si>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</si>
  <si>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</si>
  <si>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</si>
  <si>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</si>
  <si>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</si>
  <si>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</si>
  <si>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</si>
  <si>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</si>
  <si>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</si>
  <si>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</si>
  <si>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</si>
  <si>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</si>
  <si>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</si>
  <si>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</si>
  <si>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</si>
  <si>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</si>
  <si>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</si>
  <si>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</si>
  <si>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</si>
  <si>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</si>
  <si>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</si>
  <si>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</si>
  <si>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</si>
  <si>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</si>
  <si>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</si>
  <si>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</si>
  <si>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</si>
  <si>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</si>
  <si>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</si>
  <si>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</si>
  <si>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</si>
  <si>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</si>
  <si>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</si>
  <si>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</si>
  <si>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</si>
  <si>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</si>
  <si>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</si>
  <si>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</si>
  <si>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</si>
  <si>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</si>
  <si>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</si>
  <si>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</si>
  <si>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</si>
  <si>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</si>
  <si>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</si>
  <si>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</si>
  <si>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</si>
  <si>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</si>
  <si>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</si>
  <si>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</si>
  <si>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</si>
  <si>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</si>
  <si>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</si>
  <si>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</si>
  <si>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</si>
  <si>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</si>
  <si>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</si>
  <si>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</si>
  <si>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</si>
  <si>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</si>
  <si>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</si>
  <si>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</si>
  <si>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</si>
  <si>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</si>
  <si>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</si>
  <si>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</si>
  <si>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</si>
  <si>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</si>
  <si>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</si>
  <si>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</si>
  <si>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</si>
  <si>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</si>
  <si>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</si>
  <si>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</si>
  <si>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</si>
  <si>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</si>
  <si>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</si>
  <si>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</si>
  <si>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</si>
  <si>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</si>
  <si>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</si>
  <si>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</si>
  <si>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</si>
  <si>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</si>
  <si>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</si>
  <si>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</si>
  <si>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</si>
  <si>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</si>
  <si>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</si>
  <si>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</si>
  <si>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</si>
  <si>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</si>
  <si>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</si>
  <si>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</si>
  <si>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</si>
  <si>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</si>
  <si>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</si>
  <si>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</si>
  <si>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</si>
  <si>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</si>
  <si>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</si>
  <si>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</si>
  <si>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</si>
  <si>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</si>
  <si>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</si>
  <si>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</si>
  <si>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</si>
  <si>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</si>
  <si>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</si>
  <si>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</si>
  <si>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</si>
  <si>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</si>
  <si>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</si>
  <si>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</si>
  <si>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</si>
  <si>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</si>
  <si>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</si>
  <si>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</si>
  <si>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</si>
  <si>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</si>
  <si>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</si>
  <si>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</si>
  <si>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</si>
  <si>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</si>
  <si>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</si>
  <si>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</si>
  <si>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</si>
  <si>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</si>
  <si>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</si>
  <si>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</si>
  <si>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</si>
  <si>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</si>
  <si>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</si>
  <si>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</si>
  <si>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</si>
  <si>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</si>
  <si>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</si>
  <si>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</si>
  <si>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</si>
  <si>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</si>
  <si>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</si>
  <si>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</si>
  <si>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</si>
  <si>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</si>
  <si>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</si>
  <si>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</si>
  <si>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</si>
  <si>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</si>
  <si>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</si>
  <si>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</si>
  <si>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</si>
  <si>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</si>
  <si>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</si>
  <si>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</si>
  <si>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</si>
  <si>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</si>
  <si>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</si>
  <si>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</si>
  <si>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</si>
  <si>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</si>
  <si>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</si>
  <si>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</si>
  <si>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</si>
  <si>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</si>
  <si>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</si>
  <si>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</si>
  <si>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</si>
  <si>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</si>
  <si>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</si>
  <si>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</si>
  <si>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</si>
  <si>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</si>
  <si>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</si>
  <si>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</si>
  <si>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</si>
  <si>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</si>
  <si>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</si>
  <si>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</si>
  <si>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</si>
  <si>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</si>
  <si>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</si>
  <si>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</si>
  <si>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</si>
  <si>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</si>
  <si>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</si>
  <si>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</si>
  <si>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</si>
  <si>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</si>
  <si>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</si>
  <si>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</si>
  <si>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</si>
  <si>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</si>
  <si>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</si>
  <si>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</si>
  <si>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</si>
  <si>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</si>
  <si>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</si>
  <si>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</si>
  <si>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</si>
  <si>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</si>
  <si>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</si>
  <si>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</si>
  <si>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</si>
  <si>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</si>
  <si>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</si>
  <si>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</si>
  <si>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</si>
  <si>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</si>
  <si>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</si>
  <si>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</si>
  <si>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</si>
  <si>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</si>
  <si>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</si>
  <si>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</si>
  <si>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</si>
  <si>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</si>
  <si>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</si>
  <si>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</si>
  <si>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</si>
  <si>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</si>
  <si>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</si>
  <si>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</si>
  <si>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</si>
  <si>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</si>
  <si>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</si>
  <si>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</si>
  <si>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</si>
  <si>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</si>
  <si>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</si>
  <si>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</si>
  <si>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</si>
  <si>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</si>
  <si>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</si>
  <si>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</si>
  <si>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</si>
  <si>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</si>
  <si>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</si>
  <si>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</si>
  <si>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</si>
  <si>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</si>
  <si>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</si>
  <si>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</si>
  <si>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</si>
  <si>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</si>
  <si>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</si>
  <si>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</si>
  <si>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</si>
  <si>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</si>
  <si>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</si>
  <si>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</si>
  <si>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</si>
  <si>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</si>
  <si>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</si>
  <si>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</si>
  <si>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</si>
  <si>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</si>
  <si>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</si>
  <si>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</si>
  <si>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</si>
  <si>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</si>
  <si>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</si>
  <si>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</si>
  <si>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</si>
  <si>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</si>
  <si>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</si>
  <si>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</si>
  <si>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</si>
  <si>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</si>
  <si>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</si>
  <si>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</si>
  <si>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</si>
  <si>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</si>
  <si>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</si>
  <si>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</si>
  <si>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</si>
  <si>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</si>
  <si>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</si>
  <si>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</si>
  <si>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</si>
  <si>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</si>
  <si>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</si>
  <si>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</si>
  <si>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</si>
  <si>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</si>
  <si>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</si>
  <si>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</si>
  <si>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</si>
  <si>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</si>
  <si>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</si>
  <si>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</si>
  <si>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</si>
  <si>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</si>
  <si>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</si>
  <si>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</si>
  <si>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</si>
  <si>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</si>
  <si>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</si>
  <si>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</si>
  <si>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</si>
  <si>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</si>
  <si>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</si>
  <si>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</si>
  <si>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</si>
  <si>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</si>
  <si>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</si>
  <si>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</si>
  <si>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</si>
  <si>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</si>
  <si>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</si>
  <si>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</si>
  <si>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</si>
  <si>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</si>
  <si>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</si>
  <si>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</si>
  <si>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</si>
  <si>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</si>
  <si>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</si>
  <si>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</si>
  <si>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</si>
  <si>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</si>
  <si>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</si>
  <si>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</si>
  <si>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</si>
  <si>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</si>
  <si>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</si>
  <si>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</si>
  <si>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</si>
  <si>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</si>
  <si>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</si>
  <si>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</si>
  <si>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</si>
  <si>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</si>
  <si>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</si>
  <si>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</si>
  <si>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</si>
  <si>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</si>
  <si>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</si>
  <si>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</si>
  <si>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</si>
  <si>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</si>
  <si>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</si>
  <si>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</si>
  <si>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</si>
  <si>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</si>
  <si>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</si>
  <si>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</si>
  <si>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</si>
  <si>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</si>
  <si>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</si>
  <si>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</si>
  <si>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</si>
  <si>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</si>
  <si>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</si>
  <si>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</si>
  <si>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</si>
  <si>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</si>
  <si>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</si>
  <si>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</si>
  <si>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</si>
  <si>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</si>
  <si>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</si>
  <si>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</si>
  <si>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</si>
  <si>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</si>
  <si>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</si>
  <si>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</si>
  <si>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</si>
  <si>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</si>
  <si>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</si>
  <si>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</si>
  <si>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</si>
  <si>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</si>
  <si>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</si>
  <si>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</si>
  <si>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</si>
  <si>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</si>
  <si>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</si>
  <si>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</si>
  <si>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</si>
  <si>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</si>
  <si>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</si>
  <si>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</si>
  <si>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</si>
  <si>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</si>
  <si>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</si>
  <si>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</si>
  <si>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</si>
  <si>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</si>
  <si>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</si>
  <si>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</si>
  <si>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</si>
  <si>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</si>
  <si>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</si>
  <si>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</si>
  <si>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</si>
  <si>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</si>
  <si>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</si>
  <si>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</si>
  <si>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</si>
  <si>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</si>
  <si>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</si>
  <si>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</si>
  <si>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</si>
  <si>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</si>
  <si>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</si>
  <si>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</si>
  <si>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</si>
  <si>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</si>
  <si>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</si>
  <si>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</si>
  <si>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</si>
  <si>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</si>
  <si>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</si>
  <si>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</si>
  <si>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</si>
  <si>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</si>
  <si>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</si>
  <si>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</si>
  <si>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</si>
  <si>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</si>
  <si>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</si>
  <si>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</si>
  <si>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</si>
  <si>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</si>
  <si>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</si>
  <si>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</si>
  <si>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</si>
  <si>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</si>
  <si>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</si>
  <si>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</si>
  <si>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</si>
  <si>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</si>
  <si>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</si>
  <si>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</si>
  <si>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</si>
  <si>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</si>
  <si>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</si>
  <si>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</si>
  <si>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</si>
  <si>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</si>
  <si>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</si>
  <si>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</si>
  <si>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</si>
  <si>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</si>
  <si>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</si>
  <si>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</si>
  <si>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</si>
  <si>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</si>
  <si>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</si>
  <si>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</si>
  <si>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</si>
  <si>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</si>
  <si>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</si>
  <si>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</si>
  <si>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</si>
  <si>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</si>
  <si>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</si>
  <si>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</si>
  <si>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</si>
  <si>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</si>
  <si>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</si>
  <si>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</si>
  <si>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</si>
  <si>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</si>
  <si>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</si>
  <si>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</si>
  <si>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</si>
  <si>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</si>
  <si>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</si>
  <si>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</si>
  <si>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</si>
  <si>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</si>
  <si>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</si>
  <si>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</si>
  <si>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</si>
  <si>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</si>
  <si>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</si>
  <si>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</si>
  <si>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</si>
  <si>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</si>
  <si>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</si>
  <si>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</si>
  <si>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</si>
  <si>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</si>
  <si>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</si>
  <si>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</si>
  <si>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</si>
  <si>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</si>
  <si>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</si>
  <si>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</si>
  <si>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</si>
  <si>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</si>
  <si>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</si>
  <si>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</si>
  <si>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</si>
  <si>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</si>
  <si>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</si>
  <si>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</si>
  <si>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</si>
  <si>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</si>
  <si>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</si>
  <si>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</si>
  <si>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</si>
  <si>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</si>
  <si>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</si>
  <si>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</si>
  <si>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</si>
  <si>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</si>
  <si>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</si>
  <si>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</si>
  <si>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</si>
  <si>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</si>
  <si>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</si>
  <si>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</si>
  <si>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</si>
  <si>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</si>
  <si>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</si>
  <si>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</si>
  <si>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</si>
  <si>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</si>
  <si>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</si>
  <si>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</si>
  <si>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</si>
  <si>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</si>
  <si>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</si>
  <si>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</si>
  <si>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</si>
  <si>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</si>
  <si>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</si>
  <si>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</si>
  <si>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</si>
  <si>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</si>
  <si>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</si>
  <si>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</si>
  <si>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</si>
  <si>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</si>
  <si>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</si>
  <si>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</si>
  <si>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</si>
  <si>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</si>
  <si>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</si>
  <si>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</si>
  <si>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</si>
  <si>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</si>
  <si>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</si>
  <si>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</si>
  <si>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</si>
  <si>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</si>
  <si>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</si>
  <si>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</si>
  <si>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</si>
  <si>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</si>
  <si>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</si>
  <si>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</si>
  <si>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</si>
  <si>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</si>
  <si>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</si>
  <si>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</si>
  <si>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</si>
  <si>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</si>
  <si>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</si>
  <si>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</si>
  <si>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</si>
  <si>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</si>
  <si>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</si>
  <si>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</si>
  <si>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</si>
  <si>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</si>
  <si>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</si>
  <si>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</si>
  <si>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</si>
  <si>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</si>
  <si>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</si>
  <si>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</si>
  <si>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</si>
  <si>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</si>
  <si>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</si>
  <si>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</si>
  <si>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</si>
  <si>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</si>
  <si>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</si>
  <si>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</si>
  <si>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</si>
  <si>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</si>
  <si>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</si>
  <si>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</si>
  <si>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</si>
  <si>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</si>
  <si>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</si>
  <si>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</si>
  <si>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</si>
  <si>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</si>
  <si>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</si>
  <si>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</si>
  <si>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</si>
  <si>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</si>
  <si>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</si>
  <si>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</si>
  <si>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</si>
  <si>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</si>
  <si>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</si>
  <si>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</si>
  <si>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</si>
  <si>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</si>
  <si>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</si>
  <si>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</si>
  <si>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</si>
  <si>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</si>
  <si>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</si>
  <si>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</si>
  <si>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</si>
  <si>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</si>
  <si>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</si>
  <si>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</si>
  <si>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</si>
  <si>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</si>
  <si>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</si>
  <si>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</si>
  <si>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</si>
  <si>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</si>
  <si>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</si>
  <si>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</si>
  <si>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</si>
  <si>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</si>
  <si>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</si>
  <si>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</si>
  <si>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</si>
  <si>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</si>
  <si>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</si>
  <si>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</si>
  <si>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</si>
  <si>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</si>
  <si>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</si>
  <si>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</si>
  <si>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</si>
  <si>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</si>
  <si>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</si>
  <si>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</si>
  <si>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</si>
  <si>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</si>
  <si>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</si>
  <si>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</si>
  <si>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</si>
  <si>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</si>
  <si>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</si>
  <si>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</si>
  <si>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</si>
  <si>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</si>
  <si>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</si>
  <si>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</si>
  <si>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</si>
  <si>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</si>
  <si>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</si>
  <si>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</si>
  <si>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</si>
  <si>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</si>
  <si>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</si>
  <si>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</si>
  <si>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</si>
  <si>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</si>
  <si>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</si>
  <si>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</si>
  <si>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</si>
  <si>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</si>
  <si>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</si>
  <si>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</si>
  <si>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</si>
  <si>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</si>
  <si>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</si>
  <si>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</si>
  <si>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</si>
  <si>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</si>
  <si>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</si>
  <si>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</si>
  <si>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</si>
  <si>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</si>
  <si>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</si>
  <si>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</si>
  <si>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</si>
  <si>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</si>
  <si>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</si>
  <si>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</si>
  <si>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</si>
  <si>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</si>
  <si>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</si>
  <si>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</si>
  <si>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</si>
  <si>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</si>
  <si>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</si>
  <si>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</si>
  <si>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</si>
  <si>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</si>
  <si>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</si>
  <si>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</si>
  <si>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</si>
  <si>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</si>
  <si>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</si>
  <si>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</si>
  <si>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</si>
  <si>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</si>
  <si>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</si>
  <si>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</si>
  <si>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</si>
  <si>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</si>
  <si>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</si>
  <si>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</si>
  <si>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</si>
  <si>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</si>
  <si>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</si>
  <si>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</si>
  <si>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</si>
  <si>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</si>
  <si>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</si>
  <si>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</si>
  <si>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</si>
  <si>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</si>
  <si>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</si>
  <si>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</si>
  <si>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</si>
  <si>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</si>
  <si>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</si>
  <si>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</si>
  <si>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</si>
  <si>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</si>
  <si>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</si>
  <si>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</si>
  <si>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</si>
  <si>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</si>
  <si>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</si>
  <si>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</si>
  <si>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</si>
  <si>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</si>
  <si>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</si>
  <si>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</si>
  <si>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</si>
  <si>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</si>
  <si>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</si>
  <si>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</si>
  <si>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</si>
  <si>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</si>
  <si>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</si>
  <si>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</si>
  <si>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</si>
  <si>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</si>
  <si>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</si>
  <si>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</si>
  <si>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</si>
  <si>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</si>
  <si>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</si>
  <si>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</si>
  <si>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</si>
  <si>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</si>
  <si>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</si>
  <si>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</si>
  <si>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</si>
  <si>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</si>
  <si>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</si>
  <si>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</si>
  <si>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</si>
  <si>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</si>
  <si>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</si>
  <si>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</si>
  <si>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</si>
  <si>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</si>
  <si>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</si>
  <si>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</si>
  <si>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</si>
  <si>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</si>
  <si>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</si>
  <si>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</si>
  <si>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</si>
  <si>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</si>
  <si>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</si>
  <si>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</si>
  <si>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</si>
  <si>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</si>
  <si>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</si>
  <si>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</si>
  <si>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</si>
  <si>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</si>
  <si>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</si>
  <si>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</si>
  <si>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</si>
  <si>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</si>
  <si>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</si>
  <si>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</si>
  <si>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</si>
  <si>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</si>
  <si>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</si>
  <si>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</si>
  <si>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</si>
  <si>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</si>
  <si>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</si>
  <si>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</si>
  <si>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</si>
  <si>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</si>
  <si>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</si>
  <si>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</si>
  <si>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</si>
  <si>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</si>
  <si>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</si>
  <si>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</si>
  <si>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</si>
  <si>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</si>
  <si>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</si>
  <si>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</si>
  <si>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</si>
  <si>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</si>
  <si>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</si>
  <si>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</si>
  <si>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</si>
  <si>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</si>
  <si>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</si>
  <si>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</si>
  <si>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</si>
  <si>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</si>
  <si>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</si>
  <si>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</si>
  <si>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</si>
  <si>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</si>
  <si>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</si>
  <si>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</si>
  <si>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</si>
  <si>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</si>
  <si>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</si>
  <si>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</si>
  <si>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</si>
  <si>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</si>
  <si>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</si>
  <si>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</si>
  <si>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</si>
  <si>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</si>
  <si>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</si>
  <si>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</si>
  <si>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</si>
  <si>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</si>
  <si>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</si>
  <si>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</si>
  <si>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</si>
  <si>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</si>
  <si>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</si>
  <si>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</si>
  <si>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</si>
  <si>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</si>
  <si>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</si>
  <si>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</si>
  <si>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</si>
  <si>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</si>
  <si>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</si>
  <si>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</si>
  <si>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</si>
  <si>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</si>
  <si>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</si>
  <si>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</si>
  <si>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</si>
  <si>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</si>
  <si>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</si>
  <si>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</si>
  <si>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</si>
  <si>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</si>
  <si>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</si>
  <si>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</si>
  <si>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</si>
  <si>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</si>
  <si>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</si>
  <si>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</si>
  <si>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</si>
  <si>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</si>
  <si>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</si>
  <si>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</si>
  <si>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</si>
  <si>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</si>
  <si>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</si>
  <si>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</si>
  <si>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</si>
  <si>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</si>
  <si>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</si>
  <si>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</si>
  <si>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</si>
  <si>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</si>
  <si>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</si>
  <si>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</si>
  <si>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</si>
  <si>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</si>
  <si>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</si>
  <si>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</si>
  <si>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</si>
  <si>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</si>
  <si>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</si>
  <si>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</si>
  <si>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</si>
  <si>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</si>
  <si>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</si>
  <si>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</si>
  <si>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</si>
  <si>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</si>
  <si>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</si>
  <si>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</si>
  <si>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</si>
  <si>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</si>
  <si>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</si>
  <si>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</si>
  <si>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</si>
  <si>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</si>
  <si>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</si>
  <si>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</si>
  <si>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</si>
  <si>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</si>
  <si>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</si>
  <si>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</si>
  <si>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</si>
  <si>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</si>
  <si>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</si>
  <si>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</si>
  <si>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</si>
  <si>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</si>
  <si>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</si>
  <si>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</si>
  <si>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</si>
  <si>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</si>
  <si>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</si>
  <si>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</si>
  <si>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</si>
  <si>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</si>
  <si>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</si>
  <si>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</si>
  <si>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</si>
  <si>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</si>
  <si>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</si>
  <si>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</si>
  <si>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</si>
  <si>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</si>
  <si>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</si>
  <si>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</si>
  <si>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</si>
  <si>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</si>
  <si>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</si>
  <si>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</si>
  <si>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</si>
  <si>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</si>
  <si>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</si>
  <si>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</si>
  <si>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</si>
  <si>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</si>
  <si>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</si>
  <si>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</si>
  <si>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</si>
  <si>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</si>
  <si>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</si>
  <si>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</si>
  <si>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</si>
  <si>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</si>
  <si>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</si>
  <si>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</si>
  <si>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</si>
  <si>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</si>
  <si>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</si>
  <si>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</si>
  <si>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</si>
  <si>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</si>
  <si>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</si>
  <si>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</si>
  <si>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</si>
  <si>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</si>
  <si>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</si>
  <si>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</si>
  <si>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</si>
  <si>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</si>
  <si>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</si>
  <si>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</si>
  <si>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</si>
  <si>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</si>
  <si>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</si>
  <si>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</si>
  <si>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</si>
  <si>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</si>
  <si>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</si>
  <si>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</si>
  <si>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</si>
  <si>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</si>
  <si>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</si>
  <si>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</si>
  <si>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</si>
  <si>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</si>
  <si>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</si>
  <si>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</si>
  <si>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</si>
  <si>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</si>
  <si>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</si>
  <si>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</si>
  <si>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</si>
  <si>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</si>
  <si>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</si>
  <si>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</si>
  <si>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</si>
  <si>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</si>
  <si>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</si>
  <si>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</si>
  <si>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</si>
  <si>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</si>
  <si>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</si>
  <si>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</si>
  <si>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</si>
  <si>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</si>
  <si>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</si>
  <si>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</si>
  <si>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</si>
  <si>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</si>
  <si>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</si>
  <si>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</si>
  <si>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</si>
  <si>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</si>
  <si>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</si>
  <si>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</si>
  <si>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</si>
  <si>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</si>
  <si>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</si>
  <si>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</si>
  <si>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</si>
  <si>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</si>
  <si>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</si>
  <si>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</si>
  <si>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</si>
  <si>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</si>
  <si>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</si>
  <si>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</si>
  <si>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</si>
  <si>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</si>
  <si>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</si>
  <si>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</si>
  <si>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</si>
  <si>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</si>
  <si>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</si>
  <si>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</si>
  <si>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</si>
  <si>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</si>
  <si>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</si>
  <si>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</si>
  <si>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</si>
  <si>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</si>
  <si>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</si>
  <si>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</si>
  <si>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</si>
  <si>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</si>
  <si>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</si>
  <si>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</si>
  <si>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</si>
  <si>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</si>
  <si>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</si>
  <si>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</si>
  <si>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</si>
  <si>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</si>
  <si>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</si>
  <si>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</si>
  <si>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</si>
  <si>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</si>
  <si>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</si>
  <si>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</si>
  <si>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</si>
  <si>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</si>
  <si>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</si>
  <si>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</si>
  <si>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</si>
  <si>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</si>
  <si>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</si>
  <si>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</si>
  <si>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</si>
  <si>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</si>
  <si>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</si>
  <si>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</si>
  <si>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</si>
  <si>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</si>
  <si>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</si>
  <si>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</si>
  <si>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</si>
  <si>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</si>
  <si>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</si>
  <si>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</si>
  <si>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</si>
  <si>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</si>
  <si>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</si>
  <si>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</si>
  <si>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</si>
  <si>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</si>
  <si>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</si>
  <si>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</si>
  <si>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</si>
  <si>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</si>
  <si>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</si>
  <si>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</si>
  <si>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</si>
  <si>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</si>
  <si>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</si>
  <si>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</si>
  <si>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</si>
  <si>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</si>
  <si>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</si>
  <si>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</si>
  <si>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</si>
  <si>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</si>
  <si>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</si>
  <si>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</si>
  <si>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</si>
  <si>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</si>
  <si>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</si>
  <si>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</si>
  <si>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</si>
  <si>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</si>
  <si>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</si>
  <si>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</si>
  <si>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</si>
  <si>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</si>
  <si>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</si>
  <si>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</si>
  <si>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</si>
  <si>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</si>
  <si>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</si>
  <si>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</si>
  <si>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</si>
  <si>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</si>
  <si>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</si>
  <si>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</si>
  <si>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</si>
  <si>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</si>
  <si>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</si>
  <si>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</si>
  <si>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</si>
  <si>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</si>
  <si>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</si>
  <si>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</si>
  <si>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</si>
  <si>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</si>
  <si>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</si>
  <si>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</si>
  <si>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</si>
  <si>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</si>
  <si>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</si>
  <si>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</si>
  <si>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</si>
  <si>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</si>
  <si>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</si>
  <si>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</si>
  <si>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</si>
  <si>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</si>
  <si>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</si>
  <si>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</si>
  <si>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</si>
  <si>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</si>
  <si>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</si>
  <si>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</si>
  <si>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</si>
  <si>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</si>
  <si>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</si>
  <si>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</si>
  <si>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</si>
  <si>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</si>
  <si>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</si>
  <si>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</si>
  <si>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</si>
  <si>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</si>
  <si>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</si>
  <si>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</si>
  <si>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</si>
  <si>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</si>
  <si>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</si>
  <si>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</si>
  <si>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</si>
  <si>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</si>
  <si>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</si>
  <si>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</si>
  <si>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</si>
  <si>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</si>
  <si>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</si>
  <si>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</si>
  <si>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</si>
  <si>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</si>
  <si>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</si>
  <si>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</si>
  <si>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</si>
  <si>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</si>
  <si>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</si>
  <si>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</si>
  <si>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</si>
  <si>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</si>
  <si>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</si>
  <si>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</si>
  <si>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</si>
  <si>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</si>
  <si>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</si>
  <si>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</si>
  <si>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</si>
  <si>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</si>
  <si>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</si>
  <si>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</si>
  <si>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</si>
  <si>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</si>
  <si>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</si>
  <si>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</si>
  <si>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</si>
  <si>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</si>
  <si>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</si>
  <si>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</si>
  <si>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</si>
  <si>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</si>
  <si>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</si>
  <si>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</si>
  <si>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</si>
  <si>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</si>
  <si>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</si>
  <si>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</si>
  <si>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</si>
  <si>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</si>
  <si>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</si>
  <si>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</si>
  <si>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</si>
  <si>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</si>
  <si>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</si>
  <si>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</si>
  <si>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</si>
  <si>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</si>
  <si>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</si>
  <si>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</si>
  <si>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</si>
  <si>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</si>
  <si>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</si>
  <si>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</si>
  <si>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</si>
  <si>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</si>
  <si>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</si>
  <si>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</si>
  <si>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</si>
  <si>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</si>
  <si>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</si>
  <si>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</si>
  <si>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</si>
  <si>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</si>
  <si>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</si>
  <si>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</si>
  <si>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</si>
  <si>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</si>
  <si>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</si>
  <si>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</si>
  <si>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</si>
  <si>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</si>
  <si>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</si>
  <si>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</si>
  <si>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</si>
  <si>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</si>
  <si>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</si>
  <si>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</si>
  <si>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</si>
  <si>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</si>
  <si>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</si>
  <si>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</si>
  <si>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</si>
  <si>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</si>
  <si>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</si>
  <si>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</si>
  <si>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</si>
  <si>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</si>
  <si>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</si>
  <si>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</si>
  <si>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</si>
  <si>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</si>
  <si>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</si>
  <si>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</si>
  <si>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</si>
  <si>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</si>
  <si>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</si>
  <si>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</si>
  <si>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</si>
  <si>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</si>
  <si>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</si>
  <si>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</si>
  <si>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</si>
  <si>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</si>
  <si>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</si>
  <si>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</si>
  <si>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</si>
  <si>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</si>
  <si>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</si>
  <si>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</si>
  <si>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</si>
  <si>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</si>
  <si>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</si>
  <si>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</si>
  <si>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</si>
  <si>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</si>
  <si>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</si>
  <si>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</si>
  <si>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</si>
  <si>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</si>
  <si>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</si>
  <si>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</si>
  <si>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</si>
  <si>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</si>
  <si>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</si>
  <si>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</si>
  <si>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</si>
  <si>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</si>
  <si>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</si>
  <si>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</si>
  <si>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</si>
  <si>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</si>
  <si>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</si>
  <si>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</si>
  <si>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</si>
  <si>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</si>
  <si>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</si>
  <si>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</si>
  <si>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</si>
  <si>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</si>
  <si>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</si>
  <si>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</si>
  <si>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</si>
  <si>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</si>
  <si>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</si>
  <si>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</si>
  <si>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</si>
  <si>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</si>
  <si>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</si>
  <si>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</si>
  <si>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</si>
  <si>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</si>
  <si>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</si>
  <si>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</si>
  <si>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</si>
  <si>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</si>
  <si>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</si>
  <si>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</si>
  <si>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</si>
  <si>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</si>
  <si>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</si>
  <si>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</si>
  <si>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</si>
  <si>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</si>
  <si>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</si>
  <si>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</si>
  <si>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</si>
  <si>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</si>
  <si>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</si>
  <si>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</si>
  <si>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</si>
  <si>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</si>
  <si>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</si>
  <si>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</si>
  <si>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</si>
  <si>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</si>
  <si>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</si>
  <si>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</si>
  <si>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</si>
  <si>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</si>
  <si>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</si>
  <si>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</si>
  <si>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</si>
  <si>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</si>
  <si>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</si>
  <si>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</si>
  <si>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</si>
  <si>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</si>
  <si>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</si>
  <si>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</si>
  <si>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</si>
  <si>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</si>
  <si>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</si>
  <si>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</si>
  <si>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</si>
  <si>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</si>
  <si>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</si>
  <si>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</si>
  <si>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</si>
  <si>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</si>
  <si>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</si>
  <si>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</si>
  <si>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</si>
  <si>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</si>
  <si>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</si>
  <si>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</si>
  <si>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</si>
  <si>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</si>
  <si>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</si>
  <si>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</si>
  <si>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</si>
  <si>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</si>
  <si>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</si>
  <si>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</si>
  <si>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</si>
  <si>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</si>
  <si>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</si>
  <si>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</si>
  <si>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</si>
  <si>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</si>
  <si>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</si>
  <si>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</si>
  <si>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</si>
  <si>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</si>
  <si>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</si>
  <si>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</si>
  <si>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</si>
  <si>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</si>
  <si>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</si>
  <si>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</si>
  <si>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</si>
  <si>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</si>
  <si>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</si>
  <si>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</si>
  <si>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</si>
  <si>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</si>
  <si>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</si>
  <si>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</si>
  <si>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</si>
  <si>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</si>
  <si>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</si>
  <si>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</si>
  <si>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</si>
  <si>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</si>
  <si>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</si>
  <si>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</si>
  <si>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</si>
  <si>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</si>
  <si>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</si>
  <si>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</si>
  <si>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</si>
  <si>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</si>
  <si>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</si>
  <si>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</si>
  <si>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</si>
  <si>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</si>
  <si>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</si>
  <si>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</si>
  <si>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</si>
  <si>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</si>
  <si>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</si>
  <si>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</si>
  <si>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</si>
  <si>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</si>
  <si>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</si>
  <si>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</si>
  <si>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</si>
  <si>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</si>
  <si>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</si>
  <si>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</si>
  <si>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</si>
  <si>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</si>
  <si>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</si>
  <si>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</si>
  <si>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</si>
  <si>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</si>
  <si>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</si>
  <si>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</si>
  <si>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</si>
  <si>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</si>
  <si>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</si>
  <si>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</si>
  <si>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</si>
  <si>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</si>
  <si>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</si>
  <si>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</si>
  <si>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</si>
  <si>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</si>
  <si>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</si>
  <si>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</si>
  <si>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</si>
  <si>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</si>
  <si>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</si>
  <si>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</si>
  <si>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</si>
  <si>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</si>
  <si>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</si>
  <si>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</si>
  <si>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</si>
  <si>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</si>
  <si>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</si>
  <si>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</si>
  <si>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</si>
  <si>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</si>
  <si>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</si>
  <si>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</si>
  <si>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</si>
  <si>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</si>
  <si>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</si>
  <si>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</si>
  <si>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</si>
  <si>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</si>
  <si>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</si>
  <si>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</si>
  <si>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</si>
  <si>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</si>
  <si>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</si>
  <si>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</si>
  <si>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</si>
  <si>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</si>
  <si>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</si>
  <si>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</si>
  <si>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</si>
  <si>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</si>
  <si>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</si>
  <si>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</si>
  <si>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</si>
  <si>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</si>
  <si>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</si>
  <si>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</si>
  <si>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</si>
  <si>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</si>
  <si>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</si>
  <si>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</si>
  <si>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</si>
  <si>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</si>
  <si>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</si>
  <si>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</si>
  <si>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</si>
  <si>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</si>
  <si>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</si>
  <si>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</si>
  <si>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</si>
  <si>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</si>
  <si>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</si>
  <si>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</si>
  <si>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</si>
  <si>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</si>
  <si>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</si>
  <si>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</si>
  <si>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</si>
  <si>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</si>
  <si>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</si>
  <si>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</si>
  <si>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</si>
  <si>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</si>
  <si>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</si>
  <si>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</si>
  <si>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</si>
  <si>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</si>
  <si>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</si>
  <si>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</si>
  <si>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</si>
  <si>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</si>
  <si>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</si>
  <si>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</si>
  <si>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</si>
  <si>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</si>
  <si>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</si>
  <si>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</si>
  <si>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</si>
  <si>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</si>
  <si>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</si>
  <si>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</si>
  <si>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</si>
  <si>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</si>
  <si>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</si>
  <si>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</si>
  <si>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</si>
  <si>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</si>
  <si>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</si>
  <si>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</si>
  <si>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</si>
  <si>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</si>
  <si>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</si>
  <si>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</si>
  <si>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</si>
  <si>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</si>
  <si>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</si>
  <si>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</si>
  <si>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</si>
  <si>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</si>
  <si>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</si>
  <si>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</si>
  <si>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</si>
  <si>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</si>
  <si>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</si>
  <si>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</si>
  <si>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</si>
  <si>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</si>
  <si>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</si>
  <si>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</si>
  <si>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</si>
  <si>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</si>
  <si>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</si>
  <si>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</si>
  <si>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</si>
  <si>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</si>
  <si>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</si>
  <si>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</si>
  <si>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</si>
  <si>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</si>
  <si>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</si>
  <si>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</si>
  <si>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</si>
  <si>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</si>
  <si>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</si>
  <si>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</si>
  <si>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</si>
  <si>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</si>
  <si>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</si>
  <si>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</si>
  <si>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</si>
  <si>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</si>
  <si>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</si>
  <si>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</si>
  <si>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</si>
  <si>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</si>
  <si>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</si>
  <si>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</si>
  <si>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</si>
  <si>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</si>
  <si>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</si>
  <si>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</si>
  <si>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</si>
  <si>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</si>
  <si>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</si>
  <si>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</si>
  <si>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</si>
  <si>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</si>
  <si>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</si>
  <si>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</si>
  <si>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</si>
  <si>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</si>
  <si>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</si>
  <si>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</si>
  <si>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</si>
  <si>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</si>
  <si>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</si>
  <si>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</si>
  <si>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</si>
  <si>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</si>
  <si>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</si>
  <si>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</si>
  <si>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</si>
  <si>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</si>
  <si>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</si>
  <si>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</si>
  <si>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</si>
  <si>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</si>
  <si>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</si>
  <si>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</si>
  <si>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</si>
  <si>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</si>
  <si>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</si>
  <si>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</si>
  <si>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</si>
  <si>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</si>
  <si>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</si>
  <si>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</si>
  <si>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</si>
  <si>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</si>
  <si>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</si>
  <si>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</si>
  <si>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</si>
  <si>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</si>
  <si>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</si>
  <si>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</si>
  <si>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</si>
  <si>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</si>
  <si>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</si>
  <si>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</si>
  <si>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</si>
  <si>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</si>
  <si>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</si>
  <si>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</si>
  <si>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</si>
  <si>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</si>
  <si>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</si>
  <si>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</si>
  <si>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</si>
  <si>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</si>
  <si>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</si>
  <si>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</si>
  <si>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</si>
  <si>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</si>
  <si>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</si>
  <si>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</si>
  <si>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</si>
  <si>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</si>
  <si>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</si>
  <si>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</si>
  <si>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</si>
  <si>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</si>
  <si>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</si>
  <si>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</si>
  <si>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</si>
  <si>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</si>
  <si>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</si>
  <si>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</si>
  <si>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</si>
  <si>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</si>
  <si>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</si>
  <si>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</si>
  <si>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</si>
  <si>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</si>
  <si>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</si>
  <si>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</si>
  <si>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</si>
  <si>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</si>
  <si>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</si>
  <si>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</si>
  <si>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</si>
  <si>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</si>
  <si>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</si>
  <si>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</si>
  <si>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</si>
  <si>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</si>
  <si>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</si>
  <si>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</si>
  <si>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</si>
  <si>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</si>
  <si>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</si>
  <si>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</si>
  <si>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</si>
  <si>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</si>
  <si>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</si>
  <si>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</si>
  <si>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</si>
  <si>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</si>
  <si>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</si>
  <si>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</si>
  <si>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</si>
  <si>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</si>
  <si>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</si>
  <si>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</si>
  <si>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</si>
  <si>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</si>
  <si>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</si>
  <si>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</si>
  <si>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</si>
  <si>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</si>
  <si>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</si>
  <si>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</si>
  <si>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</si>
  <si>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</si>
  <si>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</si>
  <si>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</si>
  <si>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</si>
  <si>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</si>
  <si>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</si>
  <si>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</si>
  <si>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</si>
  <si>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</si>
  <si>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</si>
  <si>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</si>
  <si>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</si>
  <si>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</si>
  <si>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</si>
  <si>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</si>
  <si>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</si>
  <si>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</si>
  <si>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</si>
  <si>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</si>
  <si>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</si>
  <si>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</si>
  <si>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</si>
  <si>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</si>
  <si>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</si>
  <si>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</si>
  <si>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</si>
  <si>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</si>
  <si>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</si>
  <si>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</si>
  <si>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</si>
  <si>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</si>
  <si>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</si>
  <si>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</si>
  <si>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</si>
  <si>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</si>
  <si>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</si>
  <si>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</si>
  <si>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</si>
  <si>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</si>
  <si>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</si>
  <si>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</si>
  <si>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</si>
  <si>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</si>
  <si>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</si>
  <si>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</si>
  <si>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</si>
  <si>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</si>
  <si>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</si>
  <si>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</si>
  <si>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</si>
  <si>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</si>
  <si>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</si>
  <si>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</si>
  <si>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</si>
  <si>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</si>
  <si>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</si>
  <si>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</si>
  <si>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</si>
  <si>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</si>
  <si>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</si>
  <si>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</si>
  <si>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</si>
  <si>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</si>
  <si>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</si>
  <si>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</si>
  <si>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</si>
  <si>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</si>
  <si>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</si>
  <si>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</si>
  <si>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</si>
  <si>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</si>
  <si>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</si>
  <si>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</si>
  <si>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</si>
  <si>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</si>
  <si>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</si>
  <si>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</si>
  <si>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</si>
  <si>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</si>
  <si>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</si>
  <si>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</si>
  <si>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</si>
  <si>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</si>
  <si>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</si>
  <si>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</si>
  <si>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</si>
  <si>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</si>
  <si>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</si>
  <si>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</si>
  <si>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</si>
  <si>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</si>
  <si>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</si>
  <si>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</si>
  <si>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</si>
  <si>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</si>
  <si>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</si>
  <si>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</si>
  <si>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</si>
  <si>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</si>
  <si>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</si>
  <si>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</si>
  <si>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</si>
  <si>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</si>
  <si>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</si>
  <si>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</si>
  <si>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</si>
  <si>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</si>
  <si>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</si>
  <si>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</si>
  <si>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</si>
  <si>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</si>
  <si>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</si>
  <si>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</si>
  <si>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</si>
  <si>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</si>
  <si>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</si>
  <si>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</si>
  <si>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</si>
  <si>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</si>
  <si>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</si>
  <si>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</si>
  <si>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</si>
  <si>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</si>
  <si>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</si>
  <si>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</si>
  <si>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</si>
  <si>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</si>
  <si>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</si>
  <si>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</si>
  <si>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</si>
  <si>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</si>
  <si>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</si>
  <si>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</si>
  <si>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</si>
  <si>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</si>
  <si>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</si>
  <si>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</si>
  <si>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</si>
  <si>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</si>
  <si>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</si>
  <si>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</si>
  <si>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</si>
  <si>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</si>
  <si>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</si>
  <si>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</si>
  <si>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</si>
  <si>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</si>
  <si>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</si>
  <si>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</si>
  <si>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</si>
  <si>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</si>
  <si>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</si>
  <si>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</si>
  <si>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</si>
  <si>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</si>
  <si>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</si>
  <si>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</si>
  <si>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</si>
  <si>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</si>
  <si>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</si>
  <si>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</si>
  <si>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</si>
  <si>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</si>
  <si>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</si>
  <si>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</si>
  <si>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</si>
  <si>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</si>
  <si>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</si>
  <si>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</si>
  <si>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</si>
  <si>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</si>
  <si>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</si>
  <si>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</si>
  <si>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</si>
  <si>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</si>
  <si>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</si>
  <si>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</si>
  <si>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</si>
  <si>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</si>
  <si>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</si>
  <si>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</si>
  <si>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</si>
  <si>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</si>
  <si>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</si>
  <si>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</si>
  <si>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</si>
  <si>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</si>
  <si>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</si>
  <si>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</si>
  <si>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</si>
  <si>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</si>
  <si>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</si>
  <si>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</si>
  <si>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</si>
  <si>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</si>
  <si>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</si>
  <si>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</si>
  <si>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</si>
  <si>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</si>
  <si>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</si>
  <si>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</si>
  <si>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</si>
  <si>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</si>
  <si>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</si>
  <si>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</si>
  <si>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</si>
  <si>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</si>
  <si>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</si>
  <si>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</si>
  <si>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</si>
  <si>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</si>
  <si>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</si>
  <si>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</si>
  <si>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</si>
  <si>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</si>
  <si>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</si>
  <si>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</si>
  <si>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</si>
  <si>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</si>
  <si>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</si>
  <si>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</si>
  <si>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</si>
  <si>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</si>
  <si>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</si>
  <si>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</si>
  <si>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</si>
  <si>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</si>
  <si>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</si>
  <si>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</si>
  <si>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</si>
  <si>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</si>
  <si>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</si>
  <si>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</si>
  <si>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</si>
  <si>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</si>
  <si>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</si>
  <si>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</si>
  <si>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</si>
  <si>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</si>
  <si>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</si>
  <si>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</si>
  <si>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</si>
  <si>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</si>
  <si>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</si>
  <si>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</si>
  <si>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</si>
  <si>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</si>
  <si>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</si>
  <si>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</si>
  <si>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</si>
  <si>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</si>
  <si>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</si>
  <si>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</si>
  <si>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</si>
  <si>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</si>
  <si>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</si>
  <si>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</si>
  <si>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</si>
  <si>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</si>
  <si>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</si>
  <si>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</si>
  <si>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</si>
  <si>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</si>
  <si>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</si>
  <si>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</si>
  <si>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</si>
  <si>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</si>
  <si>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</si>
  <si>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</si>
  <si>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</si>
  <si>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</si>
  <si>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</si>
  <si>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</si>
  <si>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</si>
  <si>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</si>
  <si>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</si>
  <si>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</si>
  <si>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</si>
  <si>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</si>
  <si>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</si>
  <si>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</si>
  <si>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</si>
  <si>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</si>
  <si>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</si>
  <si>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</si>
  <si>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</si>
  <si>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</si>
  <si>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</si>
  <si>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</si>
  <si>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</si>
  <si>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</si>
  <si>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</si>
  <si>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</si>
  <si>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</si>
  <si>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</si>
  <si>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</si>
  <si>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</si>
  <si>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</si>
  <si>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</si>
  <si>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</si>
  <si>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</si>
  <si>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</si>
  <si>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</si>
  <si>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</si>
  <si>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</si>
  <si>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</si>
  <si>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</si>
  <si>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</si>
  <si>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</si>
  <si>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</si>
  <si>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</si>
  <si>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</si>
  <si>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</si>
  <si>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</si>
  <si>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</si>
  <si>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</si>
  <si>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</si>
  <si>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</si>
  <si>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</si>
  <si>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</si>
  <si>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</si>
  <si>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</si>
  <si>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</si>
  <si>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</si>
  <si>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</si>
  <si>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</si>
  <si>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</si>
  <si>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</si>
  <si>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</si>
  <si>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</si>
  <si>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</si>
  <si>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</si>
  <si>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</si>
  <si>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</si>
  <si>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</si>
  <si>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</si>
  <si>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</si>
  <si>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</si>
  <si>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</si>
  <si>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</si>
  <si>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</si>
  <si>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</si>
  <si>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</si>
  <si>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</si>
  <si>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</si>
  <si>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</si>
  <si>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</si>
  <si>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</si>
  <si>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</si>
  <si>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</si>
  <si>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</si>
  <si>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</si>
  <si>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</si>
  <si>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</si>
  <si>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</si>
  <si>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</si>
  <si>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</si>
  <si>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</si>
  <si>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</si>
  <si>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</si>
  <si>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</si>
  <si>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</si>
  <si>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</si>
  <si>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</si>
  <si>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</si>
  <si>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</si>
  <si>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</si>
  <si>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</si>
  <si>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</si>
  <si>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</si>
  <si>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</si>
  <si>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</si>
  <si>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</si>
  <si>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</si>
  <si>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</si>
  <si>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</si>
  <si>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</si>
  <si>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</si>
  <si>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</si>
  <si>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</si>
  <si>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</si>
  <si>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</si>
  <si>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</si>
  <si>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</si>
  <si>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</si>
  <si>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</si>
  <si>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</si>
  <si>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</si>
  <si>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</si>
  <si>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</si>
  <si>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</si>
  <si>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</si>
  <si>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</si>
  <si>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</si>
  <si>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</si>
  <si>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</si>
  <si>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</si>
  <si>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</si>
  <si>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</si>
  <si>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</si>
  <si>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</si>
  <si>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</si>
  <si>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</si>
  <si>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</si>
  <si>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</si>
  <si>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</si>
  <si>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</si>
  <si>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</si>
  <si>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</si>
  <si>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</si>
  <si>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</si>
  <si>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</si>
  <si>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</si>
  <si>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</si>
  <si>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</si>
  <si>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</si>
  <si>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</si>
  <si>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</si>
  <si>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</si>
  <si>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</si>
  <si>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</si>
  <si>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</si>
  <si>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</si>
  <si>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</si>
  <si>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</si>
  <si>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</si>
  <si>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</si>
  <si>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</si>
  <si>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</si>
  <si>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</si>
  <si>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</si>
  <si>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</si>
  <si>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</si>
  <si>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</si>
  <si>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</si>
  <si>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</si>
  <si>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</si>
  <si>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</si>
  <si>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</si>
  <si>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</si>
  <si>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</si>
  <si>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</si>
  <si>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</si>
  <si>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</si>
  <si>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</si>
  <si>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</si>
  <si>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</si>
  <si>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</si>
  <si>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</si>
  <si>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</si>
  <si>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</si>
  <si>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</si>
  <si>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</si>
  <si>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</si>
  <si>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</si>
  <si>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</si>
  <si>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</si>
  <si>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</si>
  <si>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</si>
  <si>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</si>
  <si>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</si>
  <si>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</si>
  <si>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</si>
  <si>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</si>
  <si>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</si>
  <si>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</si>
  <si>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</si>
  <si>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</si>
  <si>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</si>
  <si>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</si>
  <si>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</si>
  <si>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</si>
  <si>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</si>
  <si>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</si>
  <si>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</si>
  <si>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</si>
  <si>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</si>
  <si>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</si>
  <si>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</si>
  <si>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</si>
  <si>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</si>
  <si>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</si>
  <si>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</si>
  <si>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</si>
  <si>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</si>
  <si>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</si>
  <si>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</si>
  <si>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</si>
  <si>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</si>
  <si>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</si>
  <si>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</si>
  <si>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</si>
  <si>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</si>
  <si>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</si>
  <si>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</si>
  <si>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</si>
  <si>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</si>
  <si>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</si>
  <si>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</si>
  <si>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</si>
  <si>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</si>
  <si>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</si>
  <si>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</si>
  <si>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</si>
  <si>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</si>
  <si>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</si>
  <si>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</si>
  <si>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</si>
  <si>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</si>
  <si>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</si>
  <si>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</si>
  <si>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</si>
  <si>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</si>
  <si>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</si>
  <si>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</si>
  <si>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</si>
  <si>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</si>
  <si>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</si>
  <si>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</si>
  <si>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</si>
  <si>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</si>
  <si>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</si>
  <si>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</si>
  <si>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</si>
  <si>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</si>
  <si>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</si>
  <si>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</si>
  <si>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</si>
  <si>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</si>
  <si>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</si>
  <si>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</si>
  <si>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</si>
  <si>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</si>
  <si>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</si>
  <si>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</si>
  <si>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</si>
  <si>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</si>
  <si>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</si>
  <si>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</si>
  <si>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</si>
  <si>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</si>
  <si>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</si>
  <si>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</si>
  <si>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</si>
  <si>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</si>
  <si>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</si>
  <si>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</si>
  <si>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</si>
  <si>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</si>
  <si>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</si>
  <si>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</si>
  <si>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</si>
  <si>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</si>
  <si>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</si>
  <si>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</si>
  <si>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</si>
  <si>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</si>
  <si>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</si>
  <si>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</si>
  <si>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</si>
  <si>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</si>
  <si>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</si>
  <si>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</si>
  <si>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</si>
  <si>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</si>
  <si>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</si>
  <si>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</si>
  <si>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</si>
  <si>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</si>
  <si>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</si>
  <si>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</si>
  <si>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</si>
  <si>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</si>
  <si>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</si>
  <si>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</si>
  <si>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</si>
  <si>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</si>
  <si>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</si>
  <si>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</si>
  <si>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</si>
  <si>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</si>
  <si>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</si>
  <si>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</si>
  <si>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</si>
  <si>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</si>
  <si>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</si>
  <si>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</si>
  <si>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</si>
  <si>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</si>
  <si>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</si>
  <si>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</si>
  <si>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</si>
  <si>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</si>
  <si>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</si>
  <si>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</si>
  <si>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</si>
  <si>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</si>
  <si>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</si>
  <si>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</si>
  <si>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</si>
  <si>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</si>
  <si>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</si>
  <si>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</si>
  <si>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</si>
  <si>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</si>
  <si>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</si>
  <si>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</si>
  <si>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</si>
  <si>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</si>
  <si>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</si>
  <si>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</si>
  <si>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</si>
  <si>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</si>
  <si>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</si>
  <si>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</si>
  <si>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</si>
  <si>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</si>
  <si>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</si>
  <si>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</si>
  <si>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</si>
  <si>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</si>
  <si>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</si>
  <si>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</si>
  <si>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</si>
  <si>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</si>
  <si>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</si>
  <si>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</si>
  <si>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</si>
  <si>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</si>
  <si>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</si>
  <si>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</si>
  <si>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</si>
  <si>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</si>
  <si>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</si>
  <si>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</si>
  <si>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</si>
  <si>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</si>
  <si>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</si>
  <si>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</si>
  <si>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</si>
  <si>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</si>
  <si>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</si>
  <si>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</si>
  <si>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</si>
  <si>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</si>
  <si>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</si>
  <si>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</si>
  <si>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</si>
  <si>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</si>
  <si>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</si>
  <si>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</si>
  <si>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</si>
  <si>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</si>
  <si>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</si>
  <si>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</si>
  <si>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</si>
  <si>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</si>
  <si>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</si>
  <si>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</si>
  <si>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</si>
  <si>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</si>
  <si>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</si>
  <si>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</si>
  <si>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</si>
  <si>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</si>
  <si>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</si>
  <si>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</si>
  <si>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</si>
  <si>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</si>
  <si>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</si>
  <si>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</si>
  <si>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</si>
  <si>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</si>
  <si>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</si>
  <si>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</si>
  <si>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</si>
  <si>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</si>
  <si>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</si>
  <si>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</si>
  <si>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</si>
  <si>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</si>
  <si>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</si>
  <si>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</si>
  <si>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</si>
  <si>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</si>
  <si>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</si>
  <si>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</si>
  <si>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</si>
  <si>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</si>
  <si>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</si>
  <si>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</si>
  <si>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</si>
  <si>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</si>
  <si>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</si>
  <si>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</si>
  <si>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</si>
  <si>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</si>
  <si>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</si>
  <si>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</si>
  <si>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</si>
  <si>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</si>
  <si>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</si>
  <si>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</si>
  <si>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</si>
  <si>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</si>
  <si>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</si>
  <si>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</si>
  <si>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</si>
  <si>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</si>
  <si>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</si>
  <si>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</si>
  <si>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</si>
  <si>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</si>
  <si>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</si>
  <si>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</si>
  <si>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</si>
  <si>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</si>
  <si>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</si>
  <si>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</si>
  <si>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</si>
  <si>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</si>
  <si>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</si>
  <si>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</si>
  <si>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</si>
  <si>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</si>
  <si>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</si>
  <si>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</si>
  <si>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</si>
  <si>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</si>
  <si>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</si>
  <si>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</si>
  <si>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</si>
  <si>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</si>
  <si>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</si>
  <si>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</si>
  <si>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</si>
  <si>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</si>
  <si>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</si>
  <si>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</si>
  <si>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</si>
  <si>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</si>
  <si>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</si>
  <si>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</si>
  <si>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</si>
  <si>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</si>
  <si>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</si>
  <si>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</si>
  <si>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</si>
  <si>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</si>
  <si>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</si>
  <si>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</si>
  <si>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</si>
  <si>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</si>
  <si>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</si>
  <si>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</si>
  <si>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</si>
  <si>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</si>
  <si>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</si>
  <si>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</si>
  <si>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</si>
  <si>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</si>
  <si>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</si>
  <si>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</si>
  <si>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</si>
  <si>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</si>
  <si>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</si>
  <si>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</si>
  <si>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</si>
  <si>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</si>
  <si>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</si>
  <si>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</si>
  <si>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</si>
  <si>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</si>
  <si>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</si>
  <si>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</si>
  <si>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</si>
  <si>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</si>
  <si>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</si>
  <si>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</si>
  <si>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</si>
  <si>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</si>
  <si>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</si>
  <si>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</si>
  <si>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</si>
  <si>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</si>
  <si>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</si>
  <si>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</si>
  <si>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</si>
  <si>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</si>
  <si>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</si>
  <si>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</si>
  <si>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</si>
  <si>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</si>
  <si>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</si>
  <si>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</si>
  <si>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</si>
  <si>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</si>
  <si>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</si>
  <si>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</si>
  <si>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</si>
  <si>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</si>
  <si>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</si>
  <si>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</si>
  <si>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</si>
  <si>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</si>
  <si>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</si>
  <si>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</si>
  <si>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</si>
  <si>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</si>
  <si>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</si>
  <si>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</si>
  <si>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</si>
  <si>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</si>
  <si>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</si>
  <si>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</si>
  <si>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</si>
  <si>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</si>
  <si>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</si>
  <si>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</si>
  <si>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</si>
  <si>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</si>
  <si>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</si>
  <si>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</si>
  <si>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</si>
  <si>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</si>
  <si>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</si>
  <si>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</si>
  <si>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</si>
  <si>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</si>
  <si>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</si>
  <si>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</si>
  <si>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</si>
  <si>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</si>
  <si>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</si>
  <si>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</si>
  <si>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</si>
  <si>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</si>
  <si>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</si>
  <si>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</si>
  <si>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</si>
  <si>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</si>
  <si>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</si>
  <si>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</si>
  <si>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</si>
  <si>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</si>
  <si>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</si>
  <si>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</si>
  <si>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</si>
  <si>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</si>
  <si>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</si>
  <si>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</si>
  <si>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</si>
  <si>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</si>
  <si>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</si>
  <si>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</si>
  <si>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</si>
  <si>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</si>
  <si>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</si>
  <si>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</si>
  <si>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</si>
  <si>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</si>
  <si>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</si>
  <si>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</si>
  <si>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</si>
  <si>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</si>
  <si>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</si>
  <si>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</si>
  <si>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</si>
  <si>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</si>
  <si>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</si>
  <si>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</si>
  <si>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</si>
  <si>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</si>
  <si>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</si>
  <si>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</si>
  <si>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</si>
  <si>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</si>
  <si>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</si>
  <si>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</si>
  <si>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</si>
  <si>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</si>
  <si>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</si>
  <si>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</si>
  <si>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</si>
  <si>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</si>
  <si>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</si>
  <si>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</si>
  <si>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</si>
  <si>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</si>
  <si>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</si>
  <si>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</si>
  <si>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</si>
  <si>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</si>
  <si>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</si>
  <si>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</si>
  <si>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</si>
  <si>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</si>
  <si>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</si>
  <si>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</si>
  <si>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</si>
  <si>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</si>
  <si>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</si>
  <si>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</si>
  <si>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</si>
  <si>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</si>
  <si>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</si>
  <si>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</si>
  <si>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</si>
  <si>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</si>
  <si>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</si>
  <si>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</si>
  <si>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</si>
  <si>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</si>
  <si>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</si>
  <si>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</si>
  <si>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</si>
  <si>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</si>
  <si>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</si>
  <si>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</si>
  <si>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</si>
  <si>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</si>
  <si>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</si>
  <si>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</si>
  <si>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</si>
  <si>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</si>
  <si>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</si>
  <si>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</si>
  <si>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</si>
  <si>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</si>
  <si>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</si>
  <si>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</si>
  <si>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</si>
  <si>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</si>
  <si>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</si>
  <si>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</si>
  <si>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</si>
  <si>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</si>
  <si>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</si>
  <si>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</si>
  <si>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</si>
  <si>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</si>
  <si>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</si>
  <si>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</si>
  <si>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</si>
  <si>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</si>
  <si>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</si>
  <si>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</si>
  <si>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</si>
  <si>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</si>
  <si>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</si>
  <si>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</si>
  <si>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</si>
  <si>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</si>
  <si>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</si>
  <si>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</si>
  <si>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</si>
  <si>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</si>
  <si>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</si>
  <si>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</si>
  <si>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</si>
  <si>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</si>
  <si>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</si>
  <si>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</si>
  <si>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</si>
  <si>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</si>
  <si>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</si>
  <si>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</si>
  <si>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</si>
  <si>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</si>
  <si>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</si>
  <si>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</si>
  <si>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</si>
  <si>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</si>
  <si>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</si>
  <si>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</si>
  <si>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</si>
  <si>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</si>
  <si>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</si>
  <si>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</si>
  <si>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</si>
  <si>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</si>
  <si>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</si>
  <si>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</si>
  <si>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</si>
  <si>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</si>
  <si>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</si>
  <si>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</si>
  <si>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</si>
  <si>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</si>
  <si>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</si>
  <si>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</si>
  <si>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</si>
  <si>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</si>
  <si>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</si>
  <si>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</si>
  <si>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</si>
  <si>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</si>
  <si>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</si>
  <si>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</si>
  <si>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</si>
  <si>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</si>
  <si>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</si>
  <si>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</si>
  <si>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</si>
  <si>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</si>
  <si>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</si>
  <si>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</si>
  <si>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</si>
  <si>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</si>
  <si>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</si>
  <si>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</si>
  <si>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</si>
  <si>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</si>
  <si>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</si>
  <si>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</si>
  <si>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</si>
  <si>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</si>
  <si>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</si>
  <si>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</si>
  <si>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</si>
  <si>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</si>
  <si>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</si>
  <si>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</si>
  <si>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</si>
  <si>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</si>
  <si>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</si>
  <si>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</si>
  <si>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</si>
  <si>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</si>
  <si>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</si>
  <si>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</si>
  <si>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</si>
  <si>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</si>
  <si>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</si>
  <si>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</si>
  <si>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</si>
  <si>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</si>
  <si>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</si>
  <si>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</si>
  <si>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</si>
  <si>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</si>
  <si>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</si>
  <si>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</si>
  <si>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</si>
  <si>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</si>
  <si>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</si>
  <si>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</si>
  <si>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</si>
  <si>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</si>
  <si>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</si>
  <si>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</si>
  <si>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</si>
  <si>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</si>
  <si>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</si>
  <si>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</si>
  <si>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</si>
  <si>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</si>
  <si>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</si>
  <si>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</si>
  <si>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</si>
  <si>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</si>
  <si>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</si>
  <si>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</si>
  <si>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</si>
  <si>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</si>
  <si>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</si>
  <si>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</si>
  <si>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</si>
  <si>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</si>
  <si>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</si>
  <si>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</si>
  <si>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</si>
  <si>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</si>
  <si>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</si>
  <si>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</si>
  <si>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</si>
  <si>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</si>
  <si>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</si>
  <si>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</si>
  <si>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</si>
  <si>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</si>
  <si>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</si>
  <si>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</si>
  <si>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</si>
  <si>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</si>
  <si>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</si>
  <si>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</si>
  <si>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</si>
  <si>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</si>
  <si>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</si>
  <si>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</si>
  <si>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</si>
  <si>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</si>
  <si>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</si>
  <si>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</si>
  <si>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</si>
  <si>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</si>
  <si>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</si>
  <si>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</si>
  <si>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</si>
  <si>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</si>
  <si>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</si>
  <si>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</si>
  <si>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</si>
  <si>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</si>
  <si>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</si>
  <si>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</si>
  <si>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</si>
  <si>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</si>
  <si>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</si>
  <si>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</si>
  <si>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</si>
  <si>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</si>
  <si>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</si>
  <si>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</si>
  <si>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</si>
  <si>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</si>
  <si>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</si>
  <si>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</si>
  <si>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</si>
  <si>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</si>
  <si>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</si>
  <si>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</si>
  <si>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</si>
  <si>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</si>
  <si>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</si>
  <si>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</si>
  <si>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</si>
  <si>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</si>
  <si>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</si>
  <si>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</si>
  <si>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</si>
  <si>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</si>
  <si>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</si>
  <si>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</si>
  <si>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</si>
  <si>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</si>
  <si>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</si>
  <si>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</si>
  <si>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</si>
  <si>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</si>
  <si>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</si>
  <si>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</si>
  <si>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</si>
  <si>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</si>
  <si>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</si>
  <si>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</si>
  <si>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</si>
  <si>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</si>
  <si>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</si>
  <si>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</si>
  <si>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</si>
  <si>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</si>
  <si>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</si>
  <si>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</si>
  <si>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</si>
  <si>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</si>
  <si>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</si>
  <si>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</si>
  <si>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</si>
  <si>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</si>
  <si>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</si>
  <si>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</si>
  <si>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</si>
  <si>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</si>
  <si>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</si>
  <si>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</si>
  <si>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</si>
  <si>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</si>
  <si>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</si>
  <si>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</si>
  <si>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</si>
  <si>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</si>
  <si>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</si>
  <si>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</si>
  <si>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</si>
  <si>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</si>
  <si>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</si>
  <si>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</si>
  <si>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</si>
  <si>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</si>
  <si>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</si>
  <si>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</si>
  <si>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</si>
  <si>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</si>
  <si>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</si>
  <si>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</si>
  <si>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</si>
  <si>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</si>
  <si>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</si>
  <si>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</si>
  <si>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</si>
  <si>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</si>
  <si>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</si>
  <si>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</si>
  <si>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</si>
  <si>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</si>
  <si>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</si>
  <si>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</si>
  <si>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</si>
  <si>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</si>
  <si>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</si>
  <si>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</si>
  <si>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</si>
  <si>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</si>
  <si>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</si>
  <si>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</si>
  <si>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</si>
  <si>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</si>
  <si>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</si>
  <si>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</si>
  <si>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</si>
  <si>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</si>
  <si>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</si>
  <si>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</si>
  <si>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</si>
  <si>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</si>
  <si>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</si>
  <si>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</si>
  <si>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</si>
  <si>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</si>
  <si>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</si>
  <si>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</si>
  <si>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</si>
  <si>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</si>
  <si>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</si>
  <si>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</si>
  <si>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</si>
  <si>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</si>
  <si>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</si>
  <si>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</si>
  <si>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</si>
  <si>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</si>
  <si>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</si>
  <si>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</si>
  <si>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</si>
  <si>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</si>
  <si>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</si>
  <si>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</si>
  <si>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</si>
  <si>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</si>
  <si>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</si>
  <si>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</si>
  <si>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</si>
  <si>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</si>
  <si>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</si>
  <si>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</si>
  <si>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</si>
  <si>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</si>
  <si>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</si>
  <si>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</si>
  <si>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</si>
  <si>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</si>
  <si>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</si>
  <si>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</si>
  <si>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</si>
  <si>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</si>
  <si>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</si>
  <si>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</si>
  <si>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</si>
  <si>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</si>
  <si>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</si>
  <si>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</si>
  <si>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</si>
  <si>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</si>
  <si>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</si>
  <si>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</si>
  <si>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</si>
  <si>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</si>
  <si>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</si>
  <si>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</si>
  <si>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</si>
  <si>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</si>
  <si>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</si>
  <si>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</si>
  <si>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</si>
  <si>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</si>
  <si>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</si>
  <si>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</si>
  <si>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</si>
  <si>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</si>
  <si>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</si>
  <si>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</si>
  <si>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</si>
  <si>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</si>
  <si>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</si>
  <si>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</si>
  <si>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</si>
  <si>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</si>
  <si>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</si>
  <si>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</si>
  <si>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</si>
  <si>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</si>
  <si>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</si>
  <si>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</si>
  <si>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</si>
  <si>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</si>
  <si>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</si>
  <si>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</si>
  <si>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</si>
  <si>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</si>
  <si>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</si>
  <si>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</si>
  <si>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</si>
  <si>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</si>
  <si>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</si>
  <si>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</si>
  <si>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</si>
  <si>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</si>
  <si>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</si>
  <si>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</si>
  <si>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</si>
  <si>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</si>
  <si>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</si>
  <si>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</si>
  <si>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</si>
  <si>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</si>
  <si>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</si>
  <si>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</si>
  <si>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</si>
  <si>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</si>
  <si>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</si>
  <si>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</si>
  <si>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</si>
  <si>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</si>
  <si>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</si>
  <si>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</si>
  <si>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</si>
  <si>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</si>
  <si>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</si>
  <si>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</si>
  <si>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</si>
  <si>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</si>
  <si>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</si>
  <si>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</si>
  <si>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</si>
  <si>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</si>
  <si>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</si>
  <si>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</si>
  <si>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</si>
  <si>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</si>
  <si>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</si>
  <si>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</si>
  <si>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</si>
  <si>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</si>
  <si>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</si>
  <si>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</si>
  <si>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</si>
  <si>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</si>
  <si>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</si>
  <si>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</si>
  <si>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</si>
  <si>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</si>
  <si>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</si>
  <si>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</si>
  <si>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</si>
  <si>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</si>
  <si>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</si>
  <si>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</si>
  <si>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</si>
  <si>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</si>
  <si>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</si>
  <si>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</si>
  <si>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</si>
  <si>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</si>
  <si>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</si>
  <si>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</si>
  <si>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</si>
  <si>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</si>
  <si>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</si>
  <si>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</si>
  <si>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</si>
  <si>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</si>
  <si>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</si>
  <si>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</si>
  <si>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</si>
  <si>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</si>
  <si>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</si>
  <si>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</si>
  <si>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</si>
  <si>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</si>
  <si>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</si>
  <si>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</si>
  <si>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</si>
  <si>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</si>
  <si>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</si>
  <si>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</si>
  <si>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</si>
  <si>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</si>
  <si>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</si>
  <si>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</si>
  <si>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</si>
  <si>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</si>
  <si>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</si>
  <si>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</si>
  <si>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</si>
  <si>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</si>
  <si>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</si>
  <si>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</si>
  <si>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</si>
  <si>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</si>
  <si>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</si>
  <si>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</si>
  <si>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</si>
  <si>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</si>
  <si>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</si>
  <si>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</si>
  <si>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</si>
  <si>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</si>
  <si>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</si>
  <si>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</si>
  <si>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</si>
  <si>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</si>
  <si>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</si>
  <si>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</si>
  <si>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</si>
  <si>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</si>
  <si>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</si>
  <si>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</si>
  <si>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</si>
  <si>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</si>
  <si>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</si>
  <si>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</si>
  <si>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</si>
  <si>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</si>
  <si>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</si>
  <si>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</si>
  <si>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</si>
  <si>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</si>
  <si>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</si>
  <si>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</si>
  <si>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</si>
  <si>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</si>
  <si>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</si>
  <si>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</si>
  <si>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</si>
  <si>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</si>
  <si>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</si>
  <si>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</si>
  <si>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</si>
  <si>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</si>
  <si>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</si>
  <si>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</si>
  <si>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</si>
  <si>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</si>
  <si>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</si>
  <si>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</si>
  <si>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</si>
  <si>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</si>
  <si>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</si>
  <si>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</si>
  <si>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</si>
  <si>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</si>
  <si>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</si>
  <si>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</si>
  <si>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</si>
  <si>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</si>
  <si>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</si>
  <si>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</si>
  <si>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</si>
  <si>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</si>
  <si>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</si>
  <si>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</si>
  <si>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</si>
  <si>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</si>
  <si>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</si>
  <si>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</si>
  <si>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</si>
  <si>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</si>
  <si>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</si>
  <si>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</si>
  <si>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</si>
  <si>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</si>
  <si>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</si>
  <si>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</si>
  <si>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</si>
  <si>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</si>
  <si>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</si>
  <si>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</si>
  <si>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</si>
  <si>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</si>
  <si>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</si>
  <si>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</si>
  <si>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</si>
  <si>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</si>
  <si>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</si>
  <si>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</si>
  <si>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</si>
  <si>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</si>
  <si>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</si>
  <si>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</si>
  <si>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</si>
  <si>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</si>
  <si>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</si>
  <si>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</si>
  <si>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</si>
  <si>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</si>
  <si>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</si>
  <si>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</si>
  <si>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</si>
  <si>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</si>
  <si>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</si>
  <si>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</si>
  <si>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</si>
  <si>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</si>
  <si>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</si>
  <si>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</si>
  <si>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</si>
  <si>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</si>
  <si>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</si>
  <si>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</si>
  <si>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</si>
  <si>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</si>
  <si>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</si>
  <si>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</si>
  <si>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</si>
  <si>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</si>
  <si>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</si>
  <si>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</si>
  <si>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</si>
  <si>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</si>
  <si>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</si>
  <si>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</si>
  <si>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</si>
  <si>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</si>
  <si>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</si>
  <si>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</si>
  <si>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</si>
  <si>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</si>
  <si>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</si>
  <si>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</si>
  <si>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</si>
  <si>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</si>
  <si>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</si>
  <si>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</si>
  <si>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</si>
  <si>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</si>
  <si>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</si>
  <si>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</si>
  <si>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</si>
  <si>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</si>
  <si>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</si>
  <si>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</si>
  <si>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</si>
  <si>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</si>
  <si>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</si>
  <si>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</si>
  <si>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</si>
  <si>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</si>
  <si>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</si>
  <si>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</si>
  <si>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</si>
  <si>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</si>
  <si>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</si>
  <si>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</si>
  <si>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</si>
  <si>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</si>
  <si>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</si>
  <si>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</si>
  <si>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</si>
  <si>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</si>
  <si>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</si>
  <si>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</si>
  <si>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</si>
  <si>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</si>
  <si>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</si>
  <si>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</si>
  <si>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</si>
  <si>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</si>
  <si>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</si>
  <si>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</si>
  <si>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</si>
  <si>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</si>
  <si>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</si>
  <si>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</si>
  <si>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</si>
  <si>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</si>
  <si>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</si>
  <si>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</si>
  <si>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</si>
  <si>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</si>
  <si>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</si>
  <si>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</si>
  <si>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</si>
  <si>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</si>
  <si>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</si>
  <si>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</si>
  <si>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</si>
  <si>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</si>
  <si>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</si>
  <si>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</si>
  <si>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</si>
  <si>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</si>
  <si>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</si>
  <si>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</si>
  <si>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</si>
  <si>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</si>
  <si>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</si>
  <si>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</si>
  <si>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</si>
  <si>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</si>
  <si>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</si>
  <si>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</si>
  <si>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</si>
  <si>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</si>
  <si>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</si>
  <si>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</si>
  <si>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</si>
  <si>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</si>
  <si>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</si>
  <si>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</si>
  <si>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</si>
  <si>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</si>
  <si>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</si>
  <si>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</si>
  <si>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</si>
  <si>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</si>
  <si>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</si>
  <si>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</si>
  <si>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</si>
  <si>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</si>
  <si>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</si>
  <si>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</si>
  <si>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</si>
  <si>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</si>
  <si>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</si>
  <si>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</si>
  <si>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</si>
  <si>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</si>
  <si>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</si>
  <si>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</si>
  <si>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</si>
  <si>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</si>
  <si>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</si>
  <si>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</si>
  <si>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</si>
  <si>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</si>
  <si>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</si>
  <si>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</si>
  <si>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</si>
  <si>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</si>
  <si>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</si>
  <si>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</si>
  <si>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</si>
  <si>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</si>
  <si>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</si>
  <si>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</si>
  <si>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</si>
  <si>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</si>
  <si>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</si>
  <si>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</si>
  <si>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</si>
  <si>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</si>
  <si>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</si>
  <si>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</si>
  <si>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</si>
  <si>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</si>
  <si>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</si>
  <si>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</si>
  <si>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</si>
  <si>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</si>
  <si>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</si>
  <si>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</si>
  <si>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</si>
  <si>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</si>
  <si>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</si>
  <si>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</si>
  <si>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</si>
  <si>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</si>
  <si>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</si>
  <si>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</si>
  <si>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</si>
  <si>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</si>
  <si>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</si>
  <si>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</si>
  <si>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</si>
  <si>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</si>
  <si>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</si>
  <si>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</si>
  <si>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</si>
  <si>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</si>
  <si>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</si>
  <si>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</si>
  <si>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</si>
  <si>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</si>
  <si>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</si>
  <si>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</si>
  <si>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</si>
  <si>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</si>
  <si>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</si>
  <si>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</si>
  <si>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</si>
  <si>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</si>
  <si>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</si>
  <si>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</si>
  <si>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</si>
  <si>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</si>
  <si>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</si>
  <si>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</si>
  <si>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</si>
  <si>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</si>
  <si>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</si>
  <si>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</si>
  <si>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</si>
  <si>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</si>
  <si>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</si>
  <si>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</si>
  <si>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</si>
  <si>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</si>
  <si>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</si>
  <si>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</si>
  <si>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</si>
  <si>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</si>
  <si>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</si>
  <si>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</si>
  <si>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</si>
  <si>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</si>
  <si>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</si>
  <si>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</si>
  <si>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</si>
  <si>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</si>
  <si>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</si>
  <si>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</si>
  <si>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</si>
  <si>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</si>
  <si>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</si>
  <si>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</si>
  <si>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</si>
  <si>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</si>
  <si>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</si>
  <si>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</si>
  <si>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</si>
  <si>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</si>
  <si>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</si>
  <si>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</si>
  <si>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</si>
  <si>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</si>
  <si>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</si>
  <si>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</si>
  <si>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</si>
  <si>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</si>
  <si>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</si>
  <si>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</si>
  <si>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</si>
  <si>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</si>
  <si>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</si>
  <si>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</si>
  <si>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</si>
  <si>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</si>
  <si>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</si>
  <si>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</si>
  <si>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</si>
  <si>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</si>
  <si>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</si>
  <si>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</si>
  <si>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</si>
  <si>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</si>
  <si>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</si>
  <si>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</si>
  <si>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</si>
  <si>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</si>
  <si>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</si>
  <si>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</si>
  <si>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</si>
  <si>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</si>
  <si>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</si>
  <si>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</si>
  <si>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</si>
  <si>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</si>
  <si>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</si>
  <si>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</si>
  <si>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</si>
  <si>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</si>
  <si>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</si>
  <si>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</si>
  <si>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</si>
  <si>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</si>
  <si>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</si>
  <si>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</si>
  <si>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</si>
  <si>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</si>
  <si>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</si>
  <si>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</si>
  <si>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</si>
  <si>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</si>
  <si>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</si>
  <si>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</si>
  <si>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</si>
  <si>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</si>
  <si>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</si>
  <si>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</si>
  <si>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</si>
  <si>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</si>
  <si>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</si>
  <si>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</si>
  <si>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</si>
  <si>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</si>
  <si>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</si>
  <si>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</si>
  <si>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</si>
  <si>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</si>
  <si>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</si>
  <si>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</si>
  <si>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</si>
  <si>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</si>
  <si>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</si>
  <si>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</si>
  <si>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</si>
  <si>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</si>
  <si>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</si>
  <si>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</si>
  <si>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</si>
  <si>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</si>
  <si>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</si>
  <si>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</si>
  <si>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</si>
  <si>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</si>
  <si>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</si>
  <si>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</si>
  <si>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</si>
  <si>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</si>
  <si>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</si>
  <si>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</si>
  <si>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</si>
  <si>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</si>
  <si>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</si>
  <si>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</si>
  <si>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</si>
  <si>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</si>
  <si>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</si>
  <si>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</si>
  <si>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</si>
  <si>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</si>
  <si>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</si>
  <si>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</si>
  <si>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</si>
  <si>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</si>
  <si>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</si>
  <si>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</si>
  <si>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</si>
  <si>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</si>
  <si>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</si>
  <si>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</si>
  <si>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</si>
  <si>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</si>
  <si>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</si>
  <si>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</si>
  <si>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</si>
  <si>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</si>
  <si>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</si>
  <si>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</si>
  <si>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</si>
  <si>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</si>
  <si>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</si>
  <si>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</si>
  <si>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</si>
  <si>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</si>
  <si>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</si>
  <si>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</si>
  <si>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</si>
  <si>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</si>
  <si>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</si>
  <si>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</si>
  <si>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</si>
  <si>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</si>
  <si>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</si>
  <si>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</si>
  <si>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</si>
  <si>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</si>
  <si>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</si>
  <si>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</si>
  <si>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</si>
  <si>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</si>
  <si>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</si>
  <si>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</si>
  <si>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</si>
  <si>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</si>
  <si>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</si>
  <si>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</si>
  <si>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</si>
  <si>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</si>
  <si>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</si>
  <si>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</si>
  <si>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</si>
  <si>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</si>
  <si>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</si>
  <si>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</si>
  <si>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</si>
  <si>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</si>
  <si>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</si>
  <si>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</si>
  <si>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</si>
  <si>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</si>
  <si>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</si>
  <si>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</si>
  <si>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</si>
  <si>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</si>
  <si>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</si>
  <si>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</si>
  <si>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</si>
  <si>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</si>
  <si>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</si>
  <si>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</si>
  <si>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</si>
  <si>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</si>
  <si>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</si>
  <si>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</si>
  <si>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</si>
  <si>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</si>
  <si>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</si>
  <si>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</si>
  <si>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</si>
  <si>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</si>
  <si>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</si>
  <si>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</si>
  <si>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</si>
  <si>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</si>
  <si>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</si>
  <si>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</si>
  <si>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</si>
  <si>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</si>
  <si>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</si>
  <si>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</si>
  <si>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</si>
  <si>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</si>
  <si>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</si>
  <si>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</si>
  <si>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</si>
  <si>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</si>
  <si>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</si>
  <si>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</si>
  <si>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</si>
  <si>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</si>
  <si>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</si>
  <si>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</si>
  <si>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</si>
  <si>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</si>
  <si>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</si>
  <si>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</si>
  <si>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</si>
  <si>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</si>
  <si>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</si>
  <si>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</si>
  <si>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</si>
  <si>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</si>
  <si>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</si>
  <si>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</si>
  <si>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</si>
  <si>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</si>
  <si>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</si>
  <si>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</si>
  <si>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</si>
  <si>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</si>
  <si>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</si>
  <si>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</si>
  <si>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</si>
  <si>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</si>
  <si>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</si>
  <si>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</si>
  <si>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</si>
  <si>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</si>
  <si>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</si>
  <si>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</si>
  <si>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</si>
  <si>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</si>
  <si>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</si>
  <si>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</si>
  <si>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</si>
  <si>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</si>
  <si>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</si>
  <si>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</si>
  <si>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</si>
  <si>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</si>
  <si>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</si>
  <si>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</si>
  <si>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</si>
  <si>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</si>
  <si>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</si>
  <si>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</si>
  <si>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</si>
  <si>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</si>
  <si>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</si>
  <si>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</si>
  <si>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</si>
  <si>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</si>
  <si>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</si>
  <si>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</si>
  <si>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</si>
  <si>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</si>
  <si>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</si>
  <si>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</si>
  <si>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</si>
  <si>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</si>
  <si>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</si>
  <si>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</si>
  <si>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</si>
  <si>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</si>
  <si>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</si>
  <si>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</si>
  <si>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</si>
  <si>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</si>
  <si>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</si>
  <si>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</si>
  <si>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</si>
  <si>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</si>
  <si>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</si>
  <si>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</si>
  <si>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</si>
  <si>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</si>
  <si>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</si>
  <si>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</si>
  <si>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</si>
  <si>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</si>
  <si>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</si>
  <si>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</si>
  <si>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</si>
  <si>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</si>
  <si>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</si>
  <si>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</si>
  <si>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</si>
  <si>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</si>
  <si>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</si>
  <si>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</si>
  <si>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</si>
  <si>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</si>
  <si>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</si>
  <si>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</si>
  <si>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</si>
  <si>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</si>
  <si>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</si>
  <si>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</si>
  <si>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</si>
  <si>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</si>
  <si>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</si>
  <si>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</si>
  <si>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</si>
  <si>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</si>
  <si>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</si>
  <si>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</si>
  <si>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</si>
  <si>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</si>
  <si>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</si>
  <si>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</si>
  <si>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</si>
  <si>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</si>
  <si>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</si>
  <si>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</si>
  <si>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</si>
  <si>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</si>
  <si>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</si>
  <si>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</si>
  <si>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</si>
  <si>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</si>
  <si>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</si>
  <si>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</si>
  <si>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</si>
  <si>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</si>
  <si>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</si>
  <si>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</si>
  <si>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</si>
  <si>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</si>
  <si>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</si>
  <si>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</si>
  <si>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</si>
  <si>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</si>
  <si>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</si>
  <si>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</si>
  <si>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</si>
  <si>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</si>
  <si>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</si>
  <si>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</si>
  <si>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</si>
  <si>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</si>
  <si>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</si>
  <si>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</si>
  <si>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</si>
  <si>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</si>
  <si>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</si>
  <si>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</si>
  <si>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</si>
  <si>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</si>
  <si>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</si>
  <si>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</si>
  <si>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</si>
  <si>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</si>
  <si>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</si>
  <si>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</si>
  <si>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</si>
  <si>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</si>
  <si>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</si>
  <si>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</si>
  <si>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</si>
  <si>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</si>
  <si>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</si>
  <si>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</si>
  <si>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</si>
  <si>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</si>
  <si>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</si>
  <si>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</si>
  <si>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</si>
  <si>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</si>
  <si>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</si>
  <si>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</si>
  <si>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</si>
  <si>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</si>
  <si>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</si>
  <si>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</si>
  <si>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</si>
  <si>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</si>
  <si>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</si>
  <si>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</si>
  <si>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</si>
  <si>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</si>
  <si>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</si>
  <si>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</si>
  <si>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</si>
  <si>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</si>
  <si>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</si>
  <si>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</si>
  <si>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</si>
  <si>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</si>
  <si>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</si>
  <si>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</si>
  <si>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</si>
  <si>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</si>
  <si>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</si>
  <si>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</si>
  <si>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</si>
  <si>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</si>
  <si>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</si>
  <si>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</si>
  <si>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</si>
  <si>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</si>
  <si>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</si>
  <si>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</si>
  <si>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</si>
  <si>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</si>
  <si>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</si>
  <si>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</si>
  <si>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</si>
  <si>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</si>
  <si>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</si>
  <si>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</si>
  <si>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</si>
  <si>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</si>
  <si>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</si>
  <si>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</si>
  <si>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</si>
  <si>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</si>
  <si>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</si>
  <si>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</si>
  <si>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</si>
  <si>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</si>
  <si>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</si>
  <si>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</si>
  <si>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</si>
  <si>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</si>
  <si>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</si>
  <si>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</si>
  <si>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</si>
  <si>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</si>
  <si>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</si>
  <si>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</si>
  <si>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</si>
  <si>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</si>
  <si>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</si>
  <si>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</si>
  <si>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</si>
  <si>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</si>
  <si>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</si>
  <si>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</si>
  <si>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</si>
  <si>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</si>
  <si>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</si>
  <si>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</si>
  <si>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</si>
  <si>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</si>
  <si>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</si>
  <si>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</si>
  <si>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</si>
  <si>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</si>
  <si>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</si>
  <si>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</si>
  <si>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</si>
  <si>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</si>
  <si>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</si>
  <si>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</si>
  <si>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</si>
  <si>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</si>
  <si>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</si>
  <si>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</si>
  <si>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</si>
  <si>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</si>
  <si>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</si>
  <si>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</si>
  <si>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</si>
  <si>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</si>
  <si>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</si>
  <si>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</si>
  <si>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</si>
  <si>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</si>
  <si>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</si>
  <si>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</si>
  <si>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</si>
  <si>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</si>
  <si>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</si>
  <si>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</si>
  <si>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</si>
  <si>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</si>
  <si>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</si>
  <si>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</si>
  <si>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</si>
  <si>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</si>
  <si>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</si>
  <si>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</si>
  <si>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</si>
  <si>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</si>
  <si>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</si>
  <si>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</si>
  <si>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</si>
  <si>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</si>
  <si>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</si>
  <si>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</si>
  <si>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</si>
  <si>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</si>
  <si>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</si>
  <si>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</si>
  <si>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</si>
  <si>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</si>
  <si>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</si>
  <si>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</si>
  <si>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</si>
  <si>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</si>
  <si>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</si>
  <si>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</si>
  <si>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</si>
  <si>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</si>
  <si>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</si>
  <si>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</si>
  <si>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</si>
  <si>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</si>
  <si>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</si>
  <si>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</si>
  <si>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</si>
  <si>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</si>
  <si>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</si>
  <si>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</si>
  <si>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</si>
  <si>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</si>
  <si>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</si>
  <si>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</si>
  <si>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</si>
  <si>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</si>
  <si>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</si>
  <si>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</si>
  <si>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</si>
  <si>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</si>
  <si>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</si>
  <si>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</si>
  <si>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</si>
  <si>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</si>
  <si>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</si>
  <si>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</si>
  <si>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</si>
  <si>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</si>
  <si>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</si>
  <si>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</si>
  <si>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</si>
  <si>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</si>
  <si>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</si>
  <si>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</si>
  <si>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</si>
  <si>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</si>
  <si>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</si>
  <si>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</si>
  <si>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</si>
  <si>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</si>
  <si>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</si>
  <si>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</si>
  <si>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</si>
  <si>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</si>
  <si>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</si>
  <si>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</si>
  <si>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</si>
  <si>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</si>
  <si>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</si>
  <si>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</si>
  <si>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</si>
  <si>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</si>
  <si>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</si>
  <si>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</si>
  <si>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</si>
  <si>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</si>
  <si>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</si>
  <si>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</si>
  <si>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</si>
  <si>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</si>
  <si>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</si>
  <si>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</si>
  <si>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</si>
  <si>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</si>
  <si>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</si>
  <si>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</si>
  <si>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</si>
  <si>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</si>
  <si>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</si>
  <si>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</si>
  <si>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</si>
  <si>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</si>
  <si>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</si>
  <si>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</si>
  <si>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</si>
  <si>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</si>
  <si>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</si>
  <si>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</si>
  <si>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</si>
  <si>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</si>
  <si>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</si>
  <si>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</si>
  <si>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</si>
  <si>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</si>
  <si>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</si>
  <si>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</si>
  <si>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</si>
  <si>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</si>
  <si>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</si>
  <si>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</si>
  <si>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</si>
  <si>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</si>
  <si>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</si>
  <si>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</si>
  <si>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</si>
  <si>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</si>
  <si>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</si>
  <si>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</si>
  <si>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</si>
  <si>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</si>
  <si>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</si>
  <si>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</si>
  <si>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</si>
  <si>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</si>
  <si>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</si>
  <si>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</si>
  <si>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</si>
  <si>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</si>
  <si>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</si>
  <si>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</si>
  <si>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</si>
  <si>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</si>
  <si>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</si>
  <si>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</si>
  <si>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</si>
  <si>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</si>
  <si>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</si>
  <si>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</si>
  <si>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</si>
  <si>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</si>
  <si>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</si>
  <si>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</si>
  <si>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</si>
  <si>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</si>
  <si>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</si>
  <si>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</si>
  <si>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</si>
  <si>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</si>
  <si>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</si>
  <si>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</si>
  <si>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</si>
  <si>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</si>
  <si>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</si>
  <si>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</si>
  <si>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</si>
  <si>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</si>
  <si>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</si>
  <si>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</si>
  <si>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</si>
  <si>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</si>
  <si>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</si>
  <si>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</si>
  <si>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</si>
  <si>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</si>
  <si>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</si>
  <si>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</si>
  <si>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</si>
  <si>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</si>
  <si>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</si>
  <si>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</si>
  <si>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</si>
  <si>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</si>
  <si>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</si>
  <si>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</si>
  <si>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</si>
  <si>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</si>
  <si>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</si>
  <si>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</si>
  <si>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</si>
  <si>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</si>
  <si>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</si>
  <si>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</si>
  <si>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</si>
  <si>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</si>
  <si>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</si>
  <si>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</si>
  <si>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</si>
  <si>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</si>
  <si>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</si>
  <si>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</si>
  <si>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</si>
  <si>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</si>
  <si>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</si>
  <si>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</si>
  <si>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</si>
  <si>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</si>
  <si>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</si>
  <si>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</si>
  <si>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</si>
  <si>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</si>
  <si>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</si>
  <si>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</si>
  <si>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</si>
  <si>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</si>
  <si>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</si>
  <si>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</si>
  <si>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</si>
  <si>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</si>
  <si>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</si>
  <si>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</si>
  <si>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</si>
  <si>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</si>
  <si>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</si>
  <si>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</si>
  <si>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</si>
  <si>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</si>
  <si>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</si>
  <si>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</si>
  <si>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</si>
  <si>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</si>
  <si>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</si>
  <si>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</si>
  <si>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</si>
  <si>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</si>
  <si>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</si>
  <si>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</si>
  <si>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</si>
  <si>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</si>
  <si>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</si>
  <si>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</si>
  <si>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</si>
  <si>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</si>
  <si>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</si>
  <si>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</si>
  <si>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</si>
  <si>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</si>
  <si>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</si>
  <si>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</si>
  <si>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</si>
  <si>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</si>
  <si>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</si>
  <si>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</si>
  <si>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</si>
  <si>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</si>
  <si>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</si>
  <si>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</si>
  <si>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</si>
  <si>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</si>
  <si>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</si>
  <si>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</si>
  <si>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</si>
  <si>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</si>
  <si>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</si>
  <si>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</si>
  <si>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</si>
  <si>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</si>
  <si>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</si>
  <si>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</si>
  <si>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</si>
  <si>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</si>
  <si>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</si>
  <si>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</si>
  <si>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</si>
  <si>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</si>
  <si>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</si>
  <si>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</si>
  <si>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</si>
  <si>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</si>
  <si>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</si>
  <si>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</si>
  <si>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</si>
  <si>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</si>
  <si>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</si>
  <si>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</si>
  <si>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</si>
  <si>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</si>
  <si>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</si>
  <si>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</si>
  <si>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</si>
  <si>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</si>
  <si>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</si>
  <si>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</si>
  <si>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</si>
  <si>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</si>
  <si>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</si>
  <si>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</si>
  <si>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</si>
  <si>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</si>
  <si>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</si>
  <si>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</si>
  <si>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</si>
  <si>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</si>
  <si>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</si>
  <si>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</si>
  <si>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</si>
  <si>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</si>
  <si>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</si>
  <si>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</si>
  <si>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</si>
  <si>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</si>
  <si>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</si>
  <si>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</si>
  <si>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</si>
  <si>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</si>
  <si>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</si>
  <si>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</si>
  <si>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</si>
  <si>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</si>
  <si>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</si>
  <si>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</si>
  <si>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</si>
  <si>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</si>
  <si>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</si>
  <si>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</si>
  <si>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</si>
  <si>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</si>
  <si>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</si>
  <si>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</si>
  <si>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</si>
  <si>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</si>
  <si>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</si>
  <si>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</si>
  <si>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</si>
  <si>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</si>
  <si>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</si>
  <si>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</si>
  <si>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</si>
  <si>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</si>
  <si>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</si>
  <si>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</si>
  <si>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</si>
  <si>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</si>
  <si>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</si>
  <si>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</si>
  <si>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</si>
  <si>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</si>
  <si>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</si>
  <si>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</si>
  <si>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</si>
  <si>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</si>
  <si>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</si>
  <si>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</si>
  <si>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</si>
  <si>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</si>
  <si>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</si>
  <si>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</si>
  <si>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</si>
  <si>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</si>
  <si>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</si>
  <si>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</si>
  <si>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</si>
  <si>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</si>
  <si>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</si>
  <si>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</si>
  <si>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</si>
  <si>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</si>
  <si>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</si>
  <si>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</si>
  <si>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</si>
  <si>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</si>
  <si>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</si>
  <si>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</si>
  <si>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</si>
  <si>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</si>
  <si>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</si>
  <si>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</si>
  <si>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</si>
  <si>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</si>
  <si>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</si>
  <si>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</si>
  <si>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</si>
  <si>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</si>
  <si>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</si>
  <si>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</si>
  <si>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</si>
  <si>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</si>
  <si>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</si>
  <si>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</si>
  <si>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</si>
  <si>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</si>
  <si>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</si>
  <si>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</si>
  <si>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</si>
  <si>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</si>
  <si>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</si>
  <si>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</si>
  <si>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</si>
  <si>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</si>
  <si>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</si>
  <si>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</si>
  <si>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</si>
  <si>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</si>
  <si>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</si>
  <si>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</si>
  <si>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</si>
  <si>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</si>
  <si>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</si>
  <si>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</si>
  <si>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</si>
  <si>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</si>
  <si>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</si>
  <si>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</si>
  <si>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</si>
  <si>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</si>
  <si>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</si>
  <si>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</si>
  <si>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</si>
  <si>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</si>
  <si>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</si>
  <si>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</si>
  <si>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</si>
  <si>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</si>
  <si>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</si>
  <si>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</si>
  <si>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</si>
  <si>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</si>
  <si>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</si>
  <si>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</si>
  <si>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</si>
  <si>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</si>
  <si>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</si>
  <si>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</si>
  <si>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</si>
  <si>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</si>
  <si>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</si>
  <si>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</si>
  <si>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</si>
  <si>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</si>
  <si>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</si>
  <si>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</si>
  <si>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</si>
  <si>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</si>
  <si>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</si>
  <si>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</si>
  <si>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</si>
  <si>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</si>
  <si>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</si>
  <si>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</si>
  <si>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</si>
  <si>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</si>
  <si>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</si>
  <si>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</si>
  <si>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</si>
  <si>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</si>
  <si>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</si>
  <si>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</si>
  <si>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</si>
  <si>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</si>
  <si>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</si>
  <si>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</si>
  <si>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</si>
  <si>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</si>
  <si>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</si>
  <si>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</si>
  <si>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</si>
  <si>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</si>
  <si>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</si>
  <si>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</si>
  <si>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</si>
  <si>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</si>
  <si>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</si>
  <si>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</si>
  <si>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</si>
  <si>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</si>
  <si>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</si>
  <si>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</si>
  <si>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</si>
  <si>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</si>
  <si>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</si>
  <si>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</si>
  <si>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</si>
  <si>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</si>
  <si>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</si>
  <si>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</si>
  <si>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</si>
  <si>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</si>
  <si>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</si>
  <si>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</si>
  <si>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</si>
  <si>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</si>
  <si>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</si>
  <si>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</si>
  <si>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</si>
  <si>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</si>
  <si>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</si>
  <si>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</si>
  <si>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</si>
  <si>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</si>
  <si>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</si>
  <si>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</si>
  <si>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</si>
  <si>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</si>
  <si>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</si>
  <si>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</si>
  <si>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</si>
  <si>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</si>
  <si>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</si>
  <si>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</si>
  <si>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</si>
  <si>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</si>
  <si>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</si>
  <si>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</si>
  <si>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</si>
  <si>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</si>
  <si>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</si>
  <si>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</si>
  <si>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</si>
  <si>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</si>
  <si>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</si>
  <si>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</si>
  <si>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</si>
  <si>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</si>
  <si>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</si>
  <si>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</si>
  <si>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</si>
  <si>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</si>
  <si>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</si>
  <si>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</si>
  <si>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</si>
  <si>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</si>
  <si>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</si>
  <si>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</si>
  <si>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</si>
  <si>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</si>
  <si>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</si>
  <si>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</si>
  <si>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</si>
  <si>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</si>
  <si>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</si>
  <si>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</si>
  <si>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</si>
  <si>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</si>
  <si>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</si>
  <si>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</si>
  <si>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</si>
  <si>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</si>
  <si>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</si>
  <si>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</si>
  <si>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</si>
  <si>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</si>
  <si>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</si>
  <si>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</si>
  <si>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</si>
  <si>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</si>
  <si>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</si>
  <si>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</si>
  <si>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</si>
  <si>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</si>
  <si>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</si>
  <si>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</si>
  <si>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</si>
  <si>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</si>
  <si>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</si>
  <si>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</si>
  <si>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</si>
  <si>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</si>
  <si>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</si>
  <si>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</si>
  <si>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</si>
  <si>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</si>
  <si>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</si>
  <si>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</si>
  <si>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</si>
  <si>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</si>
  <si>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</si>
  <si>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</si>
  <si>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</si>
  <si>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</si>
  <si>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</si>
  <si>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</si>
  <si>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</si>
  <si>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</si>
  <si>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</si>
  <si>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</si>
  <si>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</si>
  <si>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</si>
  <si>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</si>
  <si>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</si>
  <si>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</si>
  <si>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</si>
  <si>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</si>
  <si>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</si>
  <si>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</si>
  <si>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</si>
  <si>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</si>
  <si>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</si>
  <si>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</si>
  <si>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</si>
  <si>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</si>
  <si>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</si>
  <si>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</si>
  <si>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</si>
  <si>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</si>
  <si>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</si>
  <si>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</si>
  <si>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</si>
  <si>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</si>
  <si>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</si>
  <si>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</si>
  <si>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</si>
  <si>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</si>
  <si>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</si>
  <si>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</si>
  <si>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</si>
  <si>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</si>
  <si>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</si>
  <si>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</si>
  <si>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</si>
  <si>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</si>
  <si>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</si>
  <si>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</si>
  <si>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</si>
  <si>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</si>
  <si>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</si>
  <si>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</si>
  <si>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</si>
  <si>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</si>
  <si>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</si>
  <si>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</si>
  <si>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</si>
  <si>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</si>
  <si>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</si>
  <si>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</si>
  <si>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</si>
  <si>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</si>
  <si>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</si>
  <si>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</si>
  <si>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</si>
  <si>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</si>
  <si>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</si>
  <si>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</si>
  <si>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</si>
  <si>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</si>
  <si>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</si>
  <si>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</si>
  <si>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</si>
  <si>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</si>
  <si>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</si>
  <si>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</si>
  <si>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</si>
  <si>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</si>
  <si>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</si>
  <si>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</si>
  <si>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</si>
  <si>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</si>
  <si>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</si>
  <si>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</si>
  <si>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</si>
  <si>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</si>
  <si>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</si>
  <si>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</si>
  <si>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</si>
  <si>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</si>
  <si>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</si>
  <si>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</si>
  <si>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</si>
  <si>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</si>
  <si>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</si>
  <si>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</si>
  <si>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</si>
  <si>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</si>
  <si>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</si>
  <si>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</si>
  <si>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</si>
  <si>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</si>
  <si>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</si>
  <si>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</si>
  <si>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</si>
  <si>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</si>
  <si>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</si>
  <si>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</si>
  <si>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</si>
  <si>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</si>
  <si>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</si>
  <si>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</si>
  <si>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</si>
  <si>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</si>
  <si>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</si>
  <si>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</si>
  <si>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</si>
  <si>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</si>
  <si>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</si>
  <si>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</si>
  <si>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</si>
  <si>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</si>
  <si>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</si>
  <si>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</si>
  <si>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</si>
  <si>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</si>
  <si>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</si>
  <si>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</si>
  <si>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</si>
  <si>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</si>
  <si>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</si>
  <si>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</si>
  <si>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</si>
  <si>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</si>
  <si>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</si>
  <si>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</si>
  <si>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</si>
  <si>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</si>
  <si>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</si>
  <si>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</si>
  <si>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</si>
  <si>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</si>
  <si>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</si>
  <si>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</si>
  <si>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</si>
  <si>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</si>
  <si>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</si>
  <si>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</si>
  <si>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</si>
  <si>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</si>
  <si>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</si>
  <si>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</si>
  <si>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</si>
  <si>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</si>
  <si>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</si>
  <si>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</si>
  <si>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</si>
  <si>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</si>
  <si>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</si>
  <si>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</si>
  <si>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</si>
  <si>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</si>
  <si>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</si>
  <si>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</si>
  <si>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</si>
  <si>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</si>
  <si>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</si>
  <si>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</si>
  <si>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</si>
  <si>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</si>
  <si>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</si>
  <si>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</si>
  <si>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</si>
  <si>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</si>
  <si>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</si>
  <si>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</si>
  <si>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</si>
  <si>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</si>
  <si>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</si>
  <si>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</si>
  <si>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</si>
  <si>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</si>
  <si>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</si>
  <si>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</si>
  <si>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</si>
  <si>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</si>
  <si>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</si>
  <si>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</si>
  <si>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</si>
  <si>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</si>
  <si>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</si>
  <si>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</si>
  <si>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</si>
  <si>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</si>
  <si>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</si>
  <si>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</si>
  <si>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</si>
  <si>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</si>
  <si>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</si>
  <si>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</si>
  <si>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</si>
  <si>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</si>
  <si>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</si>
  <si>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</si>
  <si>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</si>
  <si>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</si>
  <si>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</si>
  <si>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</si>
  <si>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</si>
  <si>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</si>
  <si>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</si>
  <si>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</si>
  <si>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</si>
  <si>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</si>
  <si>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</si>
  <si>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</si>
  <si>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</si>
  <si>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</si>
  <si>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</si>
  <si>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</si>
  <si>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</si>
  <si>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</si>
  <si>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</si>
  <si>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</si>
  <si>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</si>
  <si>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</si>
  <si>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</si>
  <si>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</si>
  <si>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</si>
  <si>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</si>
  <si>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</si>
  <si>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</si>
  <si>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</si>
  <si>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</si>
  <si>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</si>
  <si>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</si>
  <si>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</si>
  <si>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</si>
  <si>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</si>
  <si>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</si>
  <si>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</si>
  <si>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</si>
  <si>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</si>
  <si>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</si>
  <si>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</si>
  <si>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</si>
  <si>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</si>
  <si>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</si>
  <si>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</si>
  <si>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</si>
  <si>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</si>
  <si>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</si>
  <si>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</si>
  <si>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</si>
  <si>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</si>
  <si>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</si>
  <si>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</si>
  <si>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</si>
  <si>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</si>
  <si>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</si>
  <si>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</si>
  <si>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</si>
  <si>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</si>
  <si>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</si>
  <si>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</si>
  <si>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</si>
  <si>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</si>
  <si>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</si>
  <si>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</si>
  <si>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</si>
  <si>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</si>
  <si>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</si>
  <si>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</si>
  <si>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</si>
  <si>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</si>
  <si>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</si>
  <si>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</si>
  <si>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</si>
  <si>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</si>
  <si>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</si>
  <si>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</si>
  <si>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</si>
  <si>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</si>
  <si>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</si>
  <si>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</si>
  <si>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</si>
  <si>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</si>
  <si>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</si>
  <si>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</si>
  <si>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</si>
  <si>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</si>
  <si>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</si>
  <si>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</si>
  <si>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</si>
  <si>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</si>
  <si>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</si>
  <si>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</si>
  <si>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</si>
  <si>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</si>
  <si>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</si>
  <si>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</si>
  <si>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</si>
  <si>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</si>
  <si>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</si>
  <si>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</si>
  <si>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</si>
  <si>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</si>
  <si>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</si>
  <si>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</si>
  <si>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</si>
  <si>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</si>
  <si>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</si>
  <si>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</si>
  <si>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</si>
  <si>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</si>
  <si>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</si>
  <si>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</si>
  <si>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</si>
  <si>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</si>
  <si>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</si>
  <si>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</si>
  <si>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</si>
  <si>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</si>
  <si>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</si>
  <si>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</si>
  <si>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</si>
  <si>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</si>
  <si>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</si>
  <si>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</si>
  <si>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</si>
  <si>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</si>
  <si>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</si>
  <si>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</si>
  <si>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</si>
  <si>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</si>
  <si>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</si>
  <si>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</si>
  <si>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</si>
  <si>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</si>
  <si>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</si>
  <si>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</si>
  <si>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</si>
  <si>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</si>
  <si>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</si>
  <si>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</si>
  <si>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</si>
  <si>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</si>
  <si>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</si>
  <si>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</si>
  <si>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</si>
  <si>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</si>
  <si>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</si>
  <si>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</si>
  <si>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</si>
  <si>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</si>
  <si>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</si>
  <si>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</si>
  <si>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</si>
  <si>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</si>
  <si>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</si>
  <si>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</si>
  <si>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</si>
  <si>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</si>
  <si>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</si>
  <si>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</si>
  <si>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</si>
  <si>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</si>
  <si>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</si>
  <si>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</si>
  <si>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</si>
  <si>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</si>
  <si>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</si>
  <si>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</si>
  <si>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</si>
  <si>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</si>
  <si>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</si>
  <si>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</si>
  <si>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</si>
  <si>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</si>
  <si>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</si>
  <si>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</si>
  <si>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</si>
  <si>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</si>
  <si>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</si>
  <si>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</si>
  <si>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</si>
  <si>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</si>
  <si>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</si>
  <si>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</si>
  <si>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</si>
  <si>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</si>
  <si>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</si>
  <si>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</si>
  <si>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</si>
  <si>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</si>
  <si>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</si>
  <si>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</si>
  <si>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</si>
  <si>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</si>
  <si>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</si>
  <si>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</si>
  <si>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</si>
  <si>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</si>
  <si>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</si>
  <si>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</si>
  <si>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</si>
  <si>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</si>
  <si>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</si>
  <si>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</si>
  <si>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</si>
  <si>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</si>
  <si>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</si>
  <si>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</si>
  <si>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</si>
  <si>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</si>
  <si>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</si>
  <si>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</si>
  <si>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</si>
  <si>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</si>
  <si>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</si>
  <si>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</si>
  <si>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</si>
  <si>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</si>
  <si>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</si>
  <si>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</si>
  <si>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</si>
  <si>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</si>
  <si>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</si>
  <si>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</si>
  <si>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</si>
  <si>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</si>
  <si>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</si>
  <si>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</si>
  <si>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</si>
  <si>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</si>
  <si>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</si>
  <si>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</si>
  <si>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</si>
  <si>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</si>
  <si>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</si>
  <si>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</si>
  <si>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</si>
  <si>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</si>
  <si>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</si>
  <si>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</si>
  <si>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</si>
  <si>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</si>
  <si>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</si>
  <si>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</si>
  <si>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</si>
  <si>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</si>
  <si>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</si>
  <si>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</si>
  <si>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</si>
  <si>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</si>
  <si>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</si>
  <si>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</si>
  <si>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</si>
  <si>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</si>
  <si>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</si>
  <si>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</si>
  <si>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</si>
  <si>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</si>
  <si>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</si>
  <si>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</si>
  <si>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</si>
  <si>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</si>
  <si>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</si>
  <si>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</si>
  <si>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</si>
  <si>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</si>
  <si>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</si>
  <si>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</si>
  <si>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</si>
  <si>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</si>
  <si>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</si>
  <si>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</si>
  <si>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</si>
  <si>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</si>
  <si>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</si>
  <si>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</si>
  <si>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</si>
  <si>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</si>
  <si>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</si>
  <si>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</si>
  <si>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</si>
  <si>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</si>
  <si>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</si>
  <si>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</si>
  <si>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</si>
  <si>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</si>
  <si>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</si>
  <si>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</si>
  <si>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</si>
  <si>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</si>
  <si>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</si>
  <si>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</si>
  <si>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</si>
  <si>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</si>
  <si>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</si>
  <si>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</si>
  <si>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</si>
  <si>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</si>
  <si>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</si>
  <si>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</si>
  <si>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</si>
  <si>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</si>
  <si>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</si>
  <si>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</si>
  <si>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</si>
  <si>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</si>
  <si>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</si>
  <si>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</si>
  <si>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</si>
  <si>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</si>
  <si>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</si>
  <si>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</si>
  <si>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</si>
  <si>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</si>
  <si>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</si>
  <si>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</si>
  <si>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</si>
  <si>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</si>
  <si>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</si>
  <si>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</si>
  <si>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</si>
  <si>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</si>
  <si>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</si>
  <si>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</si>
  <si>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</si>
  <si>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</si>
  <si>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</si>
  <si>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</si>
  <si>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</si>
  <si>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</si>
  <si>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</si>
  <si>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</si>
  <si>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</si>
  <si>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</si>
  <si>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</si>
  <si>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</si>
  <si>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</si>
  <si>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</si>
  <si>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</si>
  <si>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</si>
  <si>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</si>
  <si>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</si>
  <si>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</si>
  <si>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</si>
  <si>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</si>
  <si>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</si>
  <si>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</si>
  <si>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</si>
  <si>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</si>
  <si>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</si>
  <si>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</si>
  <si>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</si>
  <si>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</si>
  <si>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</si>
  <si>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</si>
  <si>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</si>
  <si>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</si>
  <si>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</si>
  <si>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</si>
  <si>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</si>
  <si>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</si>
  <si>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</si>
  <si>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</si>
  <si>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</si>
  <si>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</si>
  <si>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</si>
  <si>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</si>
  <si>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</si>
  <si>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</si>
  <si>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</si>
  <si>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</si>
  <si>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</si>
  <si>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</si>
  <si>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</si>
  <si>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</si>
  <si>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</si>
  <si>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</si>
  <si>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</si>
  <si>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</si>
  <si>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</si>
  <si>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</si>
  <si>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</si>
  <si>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</si>
  <si>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</si>
  <si>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</si>
  <si>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</si>
  <si>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</si>
  <si>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</si>
  <si>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</si>
  <si>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</si>
  <si>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</si>
  <si>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</si>
  <si>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</si>
  <si>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</si>
  <si>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</si>
  <si>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</si>
  <si>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</si>
  <si>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</si>
  <si>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</si>
  <si>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</si>
  <si>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</si>
  <si>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</si>
  <si>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</si>
  <si>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</si>
  <si>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</si>
  <si>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</si>
  <si>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</si>
  <si>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</si>
  <si>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</si>
  <si>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</si>
  <si>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</si>
  <si>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</si>
  <si>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</si>
  <si>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</si>
  <si>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</si>
  <si>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</si>
  <si>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</si>
  <si>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</si>
  <si>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</si>
  <si>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</si>
  <si>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</si>
  <si>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</si>
  <si>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</si>
  <si>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</si>
  <si>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</si>
  <si>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</si>
  <si>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</si>
  <si>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</si>
  <si>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</si>
  <si>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</si>
  <si>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</si>
  <si>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</si>
  <si>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</si>
  <si>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</si>
  <si>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</si>
  <si>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</si>
  <si>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</si>
  <si>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</si>
  <si>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</si>
  <si>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</si>
  <si>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</si>
  <si>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</si>
  <si>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</si>
  <si>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</si>
  <si>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</si>
  <si>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</si>
  <si>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</si>
  <si>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</si>
  <si>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</si>
  <si>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</si>
  <si>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</si>
  <si>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</si>
  <si>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</si>
  <si>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</si>
  <si>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</si>
  <si>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</si>
  <si>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</si>
  <si>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</si>
  <si>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</si>
  <si>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</si>
  <si>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</si>
  <si>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</si>
  <si>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</si>
  <si>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</si>
  <si>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</si>
  <si>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</si>
  <si>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</si>
  <si>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</si>
  <si>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</si>
  <si>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</si>
  <si>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</si>
  <si>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</si>
  <si>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</si>
  <si>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</si>
  <si>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</si>
  <si>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</si>
  <si>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</si>
  <si>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</si>
  <si>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</si>
  <si>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</si>
  <si>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</si>
  <si>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</si>
  <si>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</si>
  <si>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</si>
  <si>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</si>
  <si>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</si>
  <si>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</si>
  <si>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</si>
  <si>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</si>
  <si>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</si>
  <si>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</si>
  <si>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</si>
  <si>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</si>
  <si>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</si>
  <si>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</si>
  <si>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</si>
  <si>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</si>
  <si>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</si>
  <si>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</si>
  <si>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</si>
  <si>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</si>
  <si>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</si>
  <si>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</si>
  <si>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</si>
  <si>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</si>
  <si>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</si>
  <si>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</si>
  <si>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</si>
  <si>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</si>
  <si>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</si>
  <si>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</si>
  <si>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</si>
  <si>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</si>
  <si>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</si>
  <si>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</si>
  <si>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</si>
  <si>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</si>
  <si>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</si>
  <si>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</si>
  <si>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</si>
  <si>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</si>
  <si>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</si>
  <si>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</si>
  <si>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</si>
  <si>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</si>
  <si>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</si>
  <si>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</si>
  <si>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</si>
  <si>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</si>
  <si>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</si>
  <si>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</si>
  <si>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</si>
  <si>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</si>
  <si>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</si>
  <si>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</si>
  <si>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</si>
  <si>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</si>
  <si>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</si>
  <si>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</si>
  <si>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</si>
  <si>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</si>
  <si>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</si>
  <si>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</si>
  <si>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</si>
  <si>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</si>
  <si>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</si>
  <si>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</si>
  <si>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</si>
  <si>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</si>
  <si>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</si>
  <si>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</si>
  <si>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</si>
  <si>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</si>
  <si>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</si>
  <si>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</si>
  <si>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</si>
  <si>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</si>
  <si>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</si>
  <si>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</si>
  <si>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</si>
  <si>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</si>
  <si>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</si>
  <si>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</si>
  <si>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</si>
  <si>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</si>
  <si>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</si>
  <si>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</si>
  <si>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</si>
  <si>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</si>
  <si>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</si>
  <si>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</si>
  <si>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</si>
  <si>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</si>
  <si>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</si>
  <si>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</si>
  <si>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</si>
  <si>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</si>
  <si>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</si>
  <si>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</si>
  <si>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</si>
  <si>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</si>
  <si>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</si>
  <si>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</si>
  <si>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</si>
  <si>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</si>
  <si>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</si>
  <si>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</si>
  <si>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</si>
  <si>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</si>
  <si>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</si>
  <si>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</si>
  <si>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</si>
  <si>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</si>
  <si>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</si>
  <si>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</si>
  <si>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</si>
  <si>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</si>
  <si>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</si>
  <si>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</si>
  <si>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</si>
  <si>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</si>
  <si>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</si>
  <si>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</si>
  <si>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</si>
  <si>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</si>
  <si>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</si>
  <si>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</si>
  <si>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</si>
  <si>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</si>
  <si>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</si>
  <si>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</si>
  <si>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</si>
  <si>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</si>
  <si>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</si>
  <si>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</si>
  <si>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</si>
  <si>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</si>
  <si>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</si>
  <si>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</si>
  <si>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</si>
  <si>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</si>
  <si>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</si>
  <si>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</si>
  <si>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</si>
  <si>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</si>
  <si>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</si>
  <si>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</si>
  <si>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</si>
  <si>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</si>
  <si>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</si>
  <si>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</si>
  <si>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</si>
  <si>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</si>
  <si>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</si>
  <si>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</si>
  <si>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</si>
  <si>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</si>
  <si>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</si>
  <si>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</si>
  <si>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</si>
  <si>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</si>
  <si>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</si>
  <si>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</si>
  <si>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</si>
  <si>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</si>
  <si>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</si>
  <si>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</si>
  <si>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</si>
  <si>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</si>
  <si>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</si>
  <si>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</si>
  <si>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</si>
  <si>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</si>
  <si>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</si>
  <si>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</si>
  <si>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</si>
  <si>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</si>
  <si>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</si>
  <si>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</si>
  <si>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</si>
  <si>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</si>
  <si>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</si>
  <si>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</si>
  <si>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</si>
  <si>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</si>
  <si>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</si>
  <si>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</si>
  <si>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</si>
  <si>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</si>
  <si>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</si>
  <si>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</si>
  <si>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</si>
  <si>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</si>
  <si>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</si>
  <si>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</si>
  <si>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</si>
  <si>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</si>
  <si>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</si>
  <si>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</si>
  <si>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</si>
  <si>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</si>
  <si>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</si>
  <si>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</si>
  <si>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</si>
  <si>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</si>
  <si>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</si>
  <si>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</si>
  <si>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</si>
  <si>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</si>
  <si>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</si>
  <si>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</si>
  <si>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</si>
  <si>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</si>
  <si>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</si>
  <si>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</si>
  <si>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</si>
  <si>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</si>
  <si>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</si>
  <si>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</si>
  <si>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</si>
  <si>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</si>
  <si>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</si>
  <si>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</si>
  <si>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</si>
  <si>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</si>
  <si>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</si>
  <si>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</si>
  <si>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</si>
  <si>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</si>
  <si>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</si>
  <si>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</si>
  <si>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</si>
  <si>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</si>
  <si>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</si>
  <si>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</si>
  <si>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</si>
  <si>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</si>
  <si>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</si>
  <si>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</si>
  <si>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</si>
  <si>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</si>
  <si>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</si>
  <si>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</si>
  <si>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</si>
  <si>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</si>
  <si>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</si>
  <si>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</si>
  <si>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</si>
  <si>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</si>
  <si>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</si>
  <si>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</si>
  <si>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</si>
  <si>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</si>
  <si>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</si>
  <si>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</si>
  <si>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</si>
  <si>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</si>
  <si>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</si>
  <si>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</si>
  <si>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</si>
  <si>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</si>
  <si>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</si>
  <si>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</si>
  <si>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</si>
  <si>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</si>
  <si>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</si>
  <si>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</si>
  <si>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</si>
  <si>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</si>
  <si>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</si>
  <si>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</si>
  <si>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</si>
  <si>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</si>
  <si>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</si>
  <si>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</si>
  <si>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</si>
  <si>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</si>
  <si>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</si>
  <si>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</si>
  <si>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</si>
  <si>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</si>
  <si>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</si>
  <si>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</si>
  <si>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</si>
  <si>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</si>
  <si>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</si>
  <si>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</si>
  <si>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</si>
  <si>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</si>
  <si>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</si>
  <si>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</si>
  <si>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</si>
  <si>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</si>
  <si>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</si>
  <si>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</si>
  <si>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</si>
  <si>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</si>
  <si>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</si>
  <si>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</si>
  <si>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</si>
  <si>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</si>
  <si>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</si>
  <si>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</si>
  <si>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</si>
  <si>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</si>
  <si>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</si>
  <si>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</si>
  <si>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</si>
  <si>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</si>
  <si>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</si>
  <si>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</si>
  <si>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</si>
  <si>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</si>
  <si>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</si>
  <si>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</si>
  <si>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</si>
  <si>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</si>
  <si>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</si>
  <si>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</si>
  <si>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</si>
  <si>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</si>
  <si>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</si>
  <si>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</si>
  <si>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</si>
  <si>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</si>
  <si>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</si>
  <si>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</si>
  <si>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</si>
  <si>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</si>
  <si>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</si>
  <si>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</si>
  <si>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</si>
  <si>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</si>
  <si>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</si>
  <si>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</si>
  <si>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</si>
  <si>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</si>
  <si>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</si>
  <si>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</si>
  <si>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</si>
  <si>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</si>
  <si>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</si>
  <si>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</si>
  <si>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</si>
  <si>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</si>
  <si>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</si>
  <si>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</si>
  <si>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</si>
  <si>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</si>
  <si>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</si>
  <si>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</si>
  <si>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</si>
  <si>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</si>
  <si>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</si>
  <si>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</si>
  <si>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</si>
  <si>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</si>
  <si>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</si>
  <si>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</si>
  <si>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</si>
  <si>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</si>
  <si>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</si>
  <si>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</si>
  <si>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</si>
  <si>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</si>
  <si>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</si>
  <si>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</si>
  <si>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</si>
  <si>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</si>
  <si>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</si>
  <si>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</si>
  <si>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</si>
  <si>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</si>
  <si>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</si>
  <si>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</si>
  <si>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</si>
  <si>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</si>
  <si>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</si>
  <si>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</si>
  <si>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</si>
  <si>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</si>
  <si>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</si>
  <si>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</si>
  <si>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</si>
  <si>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</si>
  <si>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</si>
  <si>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</si>
  <si>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</si>
  <si>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</si>
  <si>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</si>
  <si>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</si>
  <si>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</si>
  <si>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</si>
  <si>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</si>
  <si>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</si>
  <si>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</si>
  <si>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</si>
  <si>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</si>
  <si>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</si>
  <si>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</si>
  <si>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</si>
  <si>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</si>
  <si>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</si>
  <si>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</si>
  <si>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</si>
  <si>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</si>
  <si>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</si>
  <si>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</si>
  <si>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</si>
  <si>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</si>
  <si>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</si>
  <si>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</si>
  <si>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</si>
  <si>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</si>
  <si>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</si>
  <si>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</si>
  <si>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</si>
  <si>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</si>
  <si>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</si>
  <si>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</si>
  <si>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</si>
  <si>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</si>
  <si>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</si>
  <si>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</si>
  <si>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</si>
  <si>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</si>
  <si>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</si>
  <si>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</si>
  <si>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</si>
  <si>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</si>
  <si>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</si>
  <si>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</si>
  <si>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</si>
  <si>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</si>
  <si>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</si>
  <si>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</si>
  <si>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</si>
  <si>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</si>
  <si>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</si>
  <si>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</si>
  <si>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</si>
  <si>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</si>
  <si>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</si>
  <si>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</si>
  <si>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</si>
  <si>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</si>
  <si>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</si>
  <si>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</si>
  <si>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</si>
  <si>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</si>
  <si>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</si>
  <si>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</si>
  <si>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</si>
  <si>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</si>
  <si>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</si>
  <si>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</si>
  <si>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</si>
  <si>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</si>
  <si>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</si>
  <si>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</si>
  <si>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</si>
  <si>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</si>
  <si>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</si>
  <si>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</si>
  <si>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</si>
  <si>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</si>
  <si>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</si>
  <si>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</si>
  <si>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</si>
  <si>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</si>
  <si>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</si>
  <si>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</si>
  <si>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</si>
  <si>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</si>
  <si>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</si>
  <si>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</si>
  <si>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</si>
  <si>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</si>
  <si>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</si>
  <si>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</si>
  <si>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</si>
  <si>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</si>
  <si>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</si>
  <si>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</si>
  <si>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</si>
  <si>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</si>
  <si>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</si>
  <si>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</si>
  <si>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</si>
  <si>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</si>
  <si>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</si>
  <si>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</si>
  <si>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</si>
  <si>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</si>
  <si>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</si>
  <si>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</si>
  <si>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</si>
  <si>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</si>
  <si>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</si>
  <si>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</si>
  <si>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</si>
  <si>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</si>
  <si>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</si>
  <si>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</si>
  <si>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</si>
  <si>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</si>
  <si>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</si>
  <si>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</si>
  <si>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</si>
  <si>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</si>
  <si>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</si>
  <si>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</si>
  <si>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</si>
  <si>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</si>
  <si>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</si>
  <si>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</si>
  <si>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</si>
  <si>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</si>
  <si>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</si>
  <si>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</si>
  <si>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</si>
  <si>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</si>
  <si>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</si>
  <si>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</si>
  <si>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</si>
  <si>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</si>
  <si>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</si>
  <si>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</si>
  <si>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</si>
  <si>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</si>
  <si>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</si>
  <si>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</si>
  <si>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</si>
  <si>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</si>
  <si>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</si>
  <si>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</si>
  <si>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</si>
  <si>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</si>
  <si>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</si>
  <si>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</si>
  <si>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</si>
  <si>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</si>
  <si>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</si>
  <si>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</si>
  <si>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</si>
  <si>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</si>
  <si>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</si>
  <si>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</si>
  <si>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</si>
  <si>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</si>
  <si>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</si>
  <si>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</si>
  <si>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</si>
  <si>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</si>
  <si>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</si>
  <si>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</si>
  <si>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</si>
  <si>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</si>
  <si>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</si>
  <si>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</si>
  <si>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</si>
  <si>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</si>
  <si>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</si>
  <si>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</si>
  <si>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</si>
  <si>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</si>
  <si>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</si>
  <si>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</si>
  <si>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</si>
  <si>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</si>
  <si>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</si>
  <si>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</si>
  <si>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</si>
  <si>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</si>
  <si>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</si>
  <si>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</si>
  <si>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</si>
  <si>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</si>
  <si>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</si>
  <si>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</si>
  <si>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</si>
  <si>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</si>
  <si>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</si>
  <si>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</si>
  <si>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</si>
  <si>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</si>
  <si>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</si>
  <si>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</si>
  <si>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</si>
  <si>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</si>
  <si>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</si>
  <si>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</si>
  <si>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</si>
  <si>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</si>
  <si>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</si>
  <si>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</si>
  <si>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</si>
  <si>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</si>
  <si>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</si>
  <si>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</si>
  <si>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</si>
  <si>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</si>
  <si>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</si>
  <si>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</si>
  <si>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</si>
  <si>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</si>
  <si>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</si>
  <si>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</si>
  <si>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</si>
  <si>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</si>
  <si>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</si>
  <si>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</si>
  <si>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</si>
  <si>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</si>
  <si>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</si>
  <si>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</si>
  <si>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</si>
  <si>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</si>
  <si>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</si>
  <si>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</si>
  <si>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</si>
  <si>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</si>
  <si>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</si>
  <si>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</si>
  <si>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</si>
  <si>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</si>
  <si>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</si>
  <si>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</si>
  <si>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</si>
  <si>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</si>
  <si>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</si>
  <si>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</si>
  <si>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</si>
  <si>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</si>
  <si>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</si>
  <si>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</si>
  <si>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</si>
  <si>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</si>
  <si>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</si>
  <si>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</si>
  <si>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</si>
  <si>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</si>
  <si>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</si>
  <si>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</si>
  <si>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</si>
  <si>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</si>
  <si>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</si>
  <si>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</si>
  <si>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</si>
  <si>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</si>
  <si>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</si>
  <si>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</si>
  <si>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</si>
  <si>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</si>
  <si>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</si>
  <si>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</si>
  <si>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</si>
  <si>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</si>
  <si>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</si>
  <si>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</si>
  <si>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</si>
  <si>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</si>
  <si>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</si>
  <si>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</si>
  <si>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</si>
  <si>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</si>
  <si>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</si>
  <si>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</si>
  <si>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</si>
  <si>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</si>
  <si>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</si>
  <si>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</si>
  <si>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</si>
  <si>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</si>
  <si>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</si>
  <si>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</si>
  <si>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</si>
  <si>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</si>
  <si>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</si>
  <si>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</si>
  <si>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</si>
  <si>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</si>
  <si>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</si>
  <si>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</si>
  <si>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</si>
  <si>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</si>
  <si>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</si>
  <si>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</si>
  <si>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</si>
  <si>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</si>
  <si>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</si>
  <si>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</si>
  <si>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</si>
  <si>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</si>
  <si>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</si>
  <si>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</si>
  <si>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</si>
  <si>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</si>
  <si>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</si>
  <si>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</si>
  <si>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</si>
  <si>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</si>
  <si>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</si>
  <si>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</si>
  <si>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</si>
  <si>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</si>
  <si>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</si>
  <si>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</si>
  <si>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</si>
  <si>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</si>
  <si>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</si>
  <si>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</si>
  <si>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</si>
  <si>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</si>
  <si>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</si>
  <si>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</si>
  <si>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</si>
  <si>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</si>
  <si>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</si>
  <si>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</si>
  <si>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</si>
  <si>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</si>
  <si>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</si>
  <si>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</si>
  <si>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</si>
  <si>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</si>
  <si>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</si>
  <si>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</si>
  <si>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</si>
  <si>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</si>
  <si>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</si>
  <si>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</si>
  <si>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</si>
  <si>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</si>
  <si>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</si>
  <si>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</si>
  <si>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</si>
  <si>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</si>
  <si>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</si>
  <si>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</si>
  <si>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</si>
  <si>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</si>
  <si>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</si>
  <si>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</si>
  <si>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</si>
  <si>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</si>
  <si>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</si>
  <si>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</si>
  <si>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</si>
  <si>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</si>
  <si>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</si>
  <si>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</si>
  <si>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</si>
  <si>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</si>
  <si>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</si>
  <si>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</si>
  <si>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</si>
  <si>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</si>
  <si>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</si>
  <si>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</si>
  <si>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</si>
  <si>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</si>
  <si>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</si>
  <si>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</si>
  <si>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</si>
  <si>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</si>
  <si>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</si>
  <si>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</si>
  <si>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</si>
  <si>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</si>
  <si>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</si>
  <si>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</si>
  <si>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</si>
  <si>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</si>
  <si>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</si>
  <si>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</si>
  <si>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</si>
  <si>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</si>
  <si>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</si>
  <si>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</si>
  <si>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</si>
  <si>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</si>
  <si>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</si>
  <si>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</si>
  <si>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</si>
  <si>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</si>
  <si>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</si>
  <si>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</si>
  <si>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</si>
  <si>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</si>
  <si>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</si>
  <si>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</si>
  <si>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</si>
  <si>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</si>
  <si>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</si>
  <si>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</si>
  <si>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</si>
  <si>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</si>
  <si>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</si>
  <si>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</si>
  <si>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</si>
  <si>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</si>
  <si>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</si>
  <si>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</si>
  <si>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</si>
  <si>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</si>
  <si>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</si>
  <si>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</si>
  <si>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</si>
  <si>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</si>
  <si>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</si>
  <si>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</si>
  <si>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</si>
  <si>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</si>
  <si>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</si>
  <si>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</si>
  <si>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</si>
  <si>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</si>
  <si>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</si>
  <si>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</si>
  <si>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</si>
  <si>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</si>
  <si>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</si>
  <si>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</si>
  <si>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</si>
  <si>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</si>
  <si>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</si>
  <si>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</si>
  <si>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</si>
  <si>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</si>
  <si>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</si>
  <si>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</si>
  <si>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</si>
  <si>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</si>
  <si>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</si>
  <si>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</si>
  <si>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</si>
  <si>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</si>
  <si>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</si>
  <si>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</si>
  <si>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</si>
  <si>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</si>
  <si>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</si>
  <si>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</si>
  <si>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</si>
  <si>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</si>
  <si>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</si>
  <si>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</si>
  <si>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</si>
  <si>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</si>
  <si>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</si>
  <si>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</si>
  <si>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</si>
  <si>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</si>
  <si>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</si>
  <si>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</si>
  <si>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</si>
  <si>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</si>
  <si>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</si>
  <si>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</si>
  <si>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</si>
  <si>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</si>
  <si>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</si>
  <si>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</si>
  <si>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</si>
  <si>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</si>
  <si>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</si>
  <si>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</si>
  <si>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</si>
  <si>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</si>
  <si>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</si>
  <si>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</si>
  <si>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</si>
  <si>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</si>
  <si>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</si>
  <si>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</si>
  <si>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</si>
  <si>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</si>
  <si>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</si>
  <si>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</si>
  <si>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</si>
  <si>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</si>
  <si>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</si>
  <si>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</si>
  <si>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</si>
  <si>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</si>
  <si>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</si>
  <si>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</si>
  <si>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</si>
  <si>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</si>
  <si>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</si>
  <si>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</si>
  <si>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</si>
  <si>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</si>
  <si>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</si>
  <si>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</si>
  <si>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</si>
  <si>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</si>
  <si>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</si>
  <si>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</si>
  <si>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</si>
  <si>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</si>
  <si>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</si>
  <si>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</si>
  <si>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</si>
  <si>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</si>
  <si>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</si>
  <si>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</si>
  <si>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</si>
  <si>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</si>
  <si>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</si>
  <si>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</si>
  <si>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</si>
  <si>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</si>
  <si>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</si>
  <si>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</si>
  <si>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</si>
  <si>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</si>
  <si>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</si>
  <si>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</si>
  <si>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</si>
  <si>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</si>
  <si>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</si>
  <si>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</si>
  <si>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</si>
  <si>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</si>
  <si>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</si>
  <si>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</si>
  <si>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</si>
  <si>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</si>
  <si>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</si>
  <si>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</si>
  <si>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</si>
  <si>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</si>
  <si>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</si>
  <si>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</si>
  <si>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</si>
  <si>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</si>
  <si>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</si>
  <si>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</si>
  <si>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</si>
  <si>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</si>
  <si>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</si>
  <si>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</si>
  <si>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</si>
  <si>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</si>
  <si>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</si>
  <si>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</si>
  <si>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</si>
  <si>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</si>
  <si>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</si>
  <si>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</si>
  <si>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</si>
  <si>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</si>
  <si>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</si>
  <si>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</si>
  <si>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</si>
  <si>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</si>
  <si>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</si>
  <si>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</si>
  <si>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</si>
  <si>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</si>
  <si>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</si>
  <si>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</si>
  <si>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</si>
  <si>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</si>
  <si>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</si>
  <si>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</si>
  <si>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</si>
  <si>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</si>
  <si>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</si>
  <si>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</si>
  <si>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</si>
  <si>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</si>
  <si>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</si>
  <si>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</si>
  <si>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</si>
  <si>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</si>
  <si>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</si>
  <si>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</si>
  <si>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</si>
  <si>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</si>
  <si>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</si>
  <si>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</si>
  <si>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</si>
  <si>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</si>
  <si>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</si>
  <si>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</si>
  <si>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</si>
  <si>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</si>
  <si>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</si>
  <si>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</si>
  <si>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</si>
  <si>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</si>
  <si>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</si>
  <si>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</si>
  <si>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</si>
  <si>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</si>
  <si>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</si>
  <si>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</si>
  <si>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</si>
  <si>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</si>
  <si>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</si>
  <si>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</si>
  <si>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</si>
  <si>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</si>
  <si>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</si>
  <si>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</si>
  <si>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</si>
  <si>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</si>
  <si>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</si>
  <si>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</si>
  <si>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</si>
  <si>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</si>
  <si>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</si>
  <si>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</si>
  <si>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</si>
  <si>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</si>
  <si>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</si>
  <si>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</si>
  <si>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</si>
  <si>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</si>
  <si>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</si>
  <si>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</si>
  <si>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</si>
  <si>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</si>
  <si>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</si>
  <si>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</si>
  <si>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</si>
  <si>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</si>
  <si>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</si>
  <si>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</si>
  <si>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</si>
  <si>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</si>
  <si>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</si>
  <si>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</si>
  <si>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</si>
  <si>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</si>
  <si>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</si>
  <si>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</si>
  <si>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</si>
  <si>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</si>
  <si>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</si>
  <si>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</si>
  <si>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</si>
  <si>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</si>
  <si>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</si>
  <si>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</si>
  <si>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</si>
  <si>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</si>
  <si>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</si>
  <si>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</si>
  <si>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</si>
  <si>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</si>
  <si>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</si>
  <si>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</si>
  <si>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</si>
  <si>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</si>
  <si>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</si>
  <si>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</si>
  <si>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</si>
  <si>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</si>
  <si>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</si>
  <si>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</si>
  <si>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</si>
  <si>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</si>
  <si>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</si>
  <si>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</si>
  <si>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</si>
  <si>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</si>
  <si>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</si>
  <si>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</si>
  <si>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</si>
  <si>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</si>
  <si>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</si>
  <si>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</si>
  <si>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</si>
  <si>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</si>
  <si>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</si>
  <si>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</si>
  <si>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</si>
  <si>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</si>
  <si>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</si>
  <si>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</si>
  <si>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</si>
  <si>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</si>
  <si>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</si>
  <si>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</si>
  <si>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</si>
  <si>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</si>
  <si>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</si>
  <si>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</si>
  <si>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</si>
  <si>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</si>
  <si>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</si>
  <si>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</si>
  <si>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</si>
  <si>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</si>
  <si>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</si>
  <si>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</si>
  <si>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</si>
  <si>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</si>
  <si>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</si>
  <si>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</si>
  <si>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</si>
  <si>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</si>
  <si>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</si>
  <si>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</si>
  <si>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</si>
  <si>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</si>
  <si>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</si>
  <si>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</si>
  <si>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</si>
  <si>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</si>
  <si>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</si>
  <si>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</si>
  <si>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</si>
  <si>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</si>
  <si>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</si>
  <si>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</si>
  <si>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</si>
  <si>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</si>
  <si>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</si>
  <si>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</si>
  <si>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</si>
  <si>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</si>
  <si>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</si>
  <si>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</si>
  <si>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</si>
  <si>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</si>
  <si>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</si>
  <si>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</si>
  <si>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</si>
  <si>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</si>
  <si>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</si>
  <si>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</si>
  <si>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</si>
  <si>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</si>
  <si>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</si>
  <si>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</si>
  <si>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</si>
  <si>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</si>
  <si>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</si>
  <si>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</si>
  <si>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</si>
  <si>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</si>
  <si>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</si>
  <si>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</si>
  <si>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</si>
  <si>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</si>
  <si>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</si>
  <si>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</si>
  <si>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</si>
  <si>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</si>
  <si>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</si>
  <si>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</si>
  <si>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</si>
  <si>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</si>
  <si>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</si>
  <si>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</si>
  <si>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</si>
  <si>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</si>
  <si>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</si>
  <si>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</si>
  <si>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</si>
  <si>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</si>
  <si>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</si>
  <si>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</si>
  <si>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</si>
  <si>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</si>
  <si>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</si>
  <si>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</si>
  <si>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</si>
  <si>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</si>
  <si>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</si>
  <si>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</si>
  <si>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</si>
  <si>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</si>
  <si>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</si>
  <si>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</si>
  <si>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</si>
  <si>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</si>
  <si>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</si>
  <si>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</si>
  <si>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</si>
  <si>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</si>
  <si>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</si>
  <si>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</si>
  <si>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</si>
  <si>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</si>
  <si>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</si>
  <si>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</si>
  <si>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</si>
  <si>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</si>
  <si>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</si>
  <si>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</si>
  <si>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</si>
  <si>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</si>
  <si>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</si>
  <si>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</si>
  <si>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</si>
  <si>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</si>
  <si>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</si>
  <si>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</si>
  <si>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</si>
  <si>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</si>
  <si>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</si>
  <si>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</si>
  <si>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</si>
  <si>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</si>
  <si>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</si>
  <si>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</si>
  <si>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</si>
  <si>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</si>
  <si>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</si>
  <si>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</si>
  <si>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</si>
  <si>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</si>
  <si>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</si>
  <si>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</si>
  <si>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</si>
  <si>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</si>
  <si>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</si>
  <si>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</si>
  <si>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</si>
  <si>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</si>
  <si>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</si>
  <si>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</si>
  <si>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</si>
  <si>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</si>
  <si>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</si>
  <si>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</si>
  <si>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</si>
  <si>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</si>
  <si>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</si>
  <si>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</si>
  <si>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</si>
  <si>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</si>
  <si>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</si>
  <si>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</si>
  <si>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</si>
  <si>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</si>
  <si>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</si>
  <si>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</si>
  <si>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</si>
  <si>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</si>
  <si>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</si>
  <si>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</si>
  <si>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</si>
  <si>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</si>
  <si>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</si>
  <si>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</si>
  <si>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</si>
  <si>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</si>
  <si>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</si>
  <si>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</si>
  <si>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</si>
  <si>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</si>
  <si>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</si>
  <si>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</si>
  <si>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</si>
  <si>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</si>
  <si>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</si>
  <si>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</si>
  <si>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</si>
  <si>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</si>
  <si>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</si>
  <si>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</si>
  <si>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</si>
  <si>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</si>
  <si>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</si>
  <si>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</si>
  <si>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</si>
  <si>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</si>
  <si>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</si>
  <si>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</si>
  <si>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</si>
  <si>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</si>
  <si>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</si>
  <si>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</si>
  <si>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</si>
  <si>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</si>
  <si>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</si>
  <si>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</si>
  <si>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</si>
  <si>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</si>
  <si>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</si>
  <si>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</si>
  <si>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</si>
  <si>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</si>
  <si>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</si>
  <si>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</si>
  <si>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</si>
  <si>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</si>
  <si>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</si>
  <si>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</si>
  <si>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</si>
  <si>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</si>
  <si>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</si>
  <si>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</si>
  <si>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</si>
  <si>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</si>
  <si>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</si>
  <si>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</si>
  <si>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</si>
  <si>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</si>
  <si>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</si>
  <si>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</si>
  <si>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</si>
  <si>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</si>
  <si>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</si>
  <si>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</si>
  <si>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</si>
  <si>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</si>
  <si>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</si>
  <si>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</si>
  <si>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</si>
  <si>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</si>
  <si>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</si>
  <si>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</si>
  <si>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</si>
  <si>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</si>
  <si>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</si>
  <si>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</si>
  <si>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</si>
  <si>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</si>
  <si>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</si>
  <si>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</si>
  <si>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</si>
  <si>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</si>
  <si>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</si>
  <si>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</si>
  <si>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</si>
  <si>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</si>
  <si>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</si>
  <si>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</si>
  <si>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</si>
  <si>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</si>
  <si>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</si>
  <si>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</si>
  <si>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</si>
  <si>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</si>
  <si>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</si>
  <si>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</si>
  <si>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</si>
  <si>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</si>
  <si>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</si>
  <si>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</si>
  <si>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</si>
  <si>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</si>
  <si>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</si>
  <si>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</si>
  <si>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</si>
  <si>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</si>
  <si>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</si>
  <si>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</si>
  <si>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</si>
  <si>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</si>
  <si>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</si>
  <si>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</si>
  <si>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</si>
  <si>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</si>
  <si>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</si>
  <si>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</si>
  <si>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</si>
  <si>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</si>
  <si>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</si>
  <si>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</si>
  <si>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</si>
  <si>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</si>
  <si>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</si>
  <si>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</si>
  <si>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</si>
  <si>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</si>
  <si>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</si>
  <si>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</si>
  <si>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</si>
  <si>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</si>
  <si>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</si>
  <si>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</si>
  <si>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</si>
  <si>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</si>
  <si>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</si>
  <si>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</si>
  <si>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</si>
  <si>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</si>
  <si>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</si>
  <si>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</si>
  <si>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</si>
  <si>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</si>
  <si>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</si>
  <si>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</si>
  <si>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</si>
  <si>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</si>
  <si>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</si>
  <si>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</si>
  <si>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</si>
  <si>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</si>
  <si>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</si>
  <si>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</si>
  <si>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</si>
  <si>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</si>
  <si>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</si>
  <si>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</si>
  <si>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</si>
  <si>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</si>
  <si>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</si>
  <si>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</si>
  <si>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</si>
  <si>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</si>
  <si>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</si>
  <si>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</si>
  <si>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</si>
  <si>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</si>
  <si>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</si>
  <si>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</si>
  <si>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</si>
  <si>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</si>
  <si>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</si>
  <si>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</si>
  <si>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</si>
  <si>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</si>
  <si>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</si>
  <si>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</si>
  <si>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</si>
  <si>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</si>
  <si>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</si>
  <si>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</si>
  <si>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</si>
  <si>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</si>
  <si>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</si>
  <si>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</si>
  <si>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</si>
  <si>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</si>
  <si>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</si>
  <si>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</si>
  <si>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</si>
  <si>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</si>
  <si>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</si>
  <si>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</si>
  <si>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</si>
  <si>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</si>
  <si>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</si>
  <si>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</si>
  <si>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</si>
  <si>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</si>
  <si>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</si>
  <si>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</si>
  <si>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</si>
  <si>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</si>
  <si>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</si>
  <si>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</si>
  <si>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</si>
  <si>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</si>
  <si>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</si>
  <si>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</si>
  <si>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</si>
  <si>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</si>
  <si>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</si>
  <si>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</si>
  <si>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</si>
  <si>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</si>
  <si>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</si>
  <si>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</si>
  <si>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</si>
  <si>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</si>
  <si>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</si>
  <si>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</si>
  <si>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</si>
  <si>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</si>
  <si>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</si>
  <si>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</si>
  <si>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</si>
  <si>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</si>
  <si>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</si>
  <si>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</si>
  <si>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</si>
  <si>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</si>
  <si>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</si>
  <si>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</si>
  <si>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</si>
  <si>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</si>
  <si>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</si>
  <si>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</si>
  <si>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</si>
  <si>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</si>
  <si>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</si>
  <si>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</si>
  <si>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</si>
  <si>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</si>
  <si>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</si>
  <si>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</si>
  <si>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</si>
  <si>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</si>
  <si>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</si>
  <si>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</si>
  <si>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</si>
  <si>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</si>
  <si>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</si>
  <si>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</si>
  <si>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</si>
  <si>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</si>
  <si>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</si>
  <si>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</si>
  <si>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</si>
  <si>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</si>
  <si>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</si>
  <si>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</si>
  <si>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</si>
  <si>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</si>
  <si>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</si>
  <si>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</si>
  <si>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</si>
  <si>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</si>
  <si>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</si>
  <si>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</si>
  <si>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</si>
  <si>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</si>
  <si>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</si>
  <si>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</si>
  <si>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</si>
  <si>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</si>
  <si>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</si>
  <si>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</si>
  <si>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</si>
  <si>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</si>
  <si>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</si>
  <si>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</si>
  <si>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</si>
  <si>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</si>
  <si>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</si>
  <si>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</si>
  <si>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</si>
  <si>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</si>
  <si>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</si>
  <si>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</si>
  <si>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</si>
  <si>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</si>
  <si>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</si>
  <si>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</si>
  <si>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</si>
  <si>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</si>
  <si>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</si>
  <si>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</si>
  <si>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</si>
  <si>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</si>
  <si>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</si>
  <si>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</si>
  <si>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</si>
  <si>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</si>
  <si>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</si>
  <si>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</si>
  <si>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</si>
  <si>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</si>
  <si>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</si>
  <si>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</si>
  <si>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</si>
  <si>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</si>
  <si>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</si>
  <si>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</si>
  <si>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</si>
  <si>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</si>
  <si>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</si>
  <si>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</si>
  <si>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</si>
  <si>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</si>
  <si>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</si>
  <si>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</si>
  <si>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</si>
  <si>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</si>
  <si>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</si>
  <si>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</si>
  <si>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</si>
  <si>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</si>
  <si>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</si>
  <si>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</si>
  <si>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</si>
  <si>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</si>
  <si>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</si>
  <si>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</si>
  <si>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</si>
  <si>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</si>
  <si>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</si>
  <si>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</si>
  <si>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</si>
  <si>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</si>
  <si>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</si>
  <si>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</si>
  <si>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</si>
  <si>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</si>
  <si>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</si>
  <si>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</si>
  <si>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</si>
  <si>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</si>
  <si>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</si>
  <si>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</si>
  <si>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</si>
  <si>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</si>
  <si>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</si>
  <si>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</si>
  <si>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</si>
  <si>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</si>
  <si>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</si>
  <si>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</si>
  <si>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</si>
  <si>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</si>
  <si>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</si>
  <si>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</si>
  <si>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</si>
  <si>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</si>
  <si>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</si>
  <si>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</si>
  <si>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</si>
  <si>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</si>
  <si>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</si>
  <si>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</si>
  <si>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</si>
  <si>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</si>
  <si>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</si>
  <si>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</si>
  <si>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</si>
  <si>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</si>
  <si>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</si>
  <si>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</si>
  <si>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</si>
  <si>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</si>
  <si>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</si>
  <si>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</si>
  <si>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</si>
  <si>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</si>
  <si>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</si>
  <si>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</si>
  <si>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</si>
  <si>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</si>
  <si>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</si>
  <si>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</si>
  <si>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</si>
  <si>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</si>
  <si>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</si>
  <si>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</si>
  <si>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</si>
  <si>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</si>
  <si>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</si>
  <si>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</si>
  <si>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</si>
  <si>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</si>
  <si>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</si>
  <si>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</si>
  <si>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</si>
  <si>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</si>
  <si>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</si>
  <si>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</si>
  <si>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</si>
  <si>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</si>
  <si>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</si>
  <si>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</si>
  <si>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</si>
  <si>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</si>
  <si>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</si>
  <si>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</si>
  <si>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</si>
  <si>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</si>
  <si>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</si>
  <si>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</si>
  <si>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</si>
  <si>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</si>
  <si>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</si>
  <si>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</si>
  <si>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</si>
  <si>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</si>
  <si>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</si>
  <si>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</si>
  <si>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</si>
  <si>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</si>
  <si>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</si>
  <si>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</si>
  <si>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</si>
  <si>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</si>
  <si>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</si>
  <si>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</si>
  <si>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</si>
  <si>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</si>
  <si>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</si>
  <si>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</si>
  <si>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</si>
  <si>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</si>
  <si>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</si>
  <si>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</si>
  <si>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</si>
  <si>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</si>
  <si>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</si>
  <si>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</si>
  <si>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</si>
  <si>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</si>
  <si>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</si>
  <si>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</si>
  <si>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</si>
  <si>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</si>
  <si>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</si>
  <si>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</si>
  <si>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</si>
  <si>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</si>
  <si>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</si>
  <si>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</si>
  <si>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</si>
  <si>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</si>
  <si>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</si>
  <si>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</si>
  <si>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</si>
  <si>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</si>
  <si>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</si>
  <si>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</si>
  <si>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</si>
  <si>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</si>
  <si>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</si>
  <si>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</si>
  <si>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</si>
  <si>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</si>
  <si>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</si>
  <si>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</si>
  <si>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</si>
  <si>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</si>
  <si>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</si>
  <si>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</si>
  <si>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</si>
  <si>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</si>
  <si>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</si>
  <si>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</si>
  <si>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</si>
  <si>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</si>
  <si>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</si>
  <si>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</si>
  <si>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</si>
  <si>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</si>
  <si>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</si>
  <si>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</si>
  <si>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</si>
  <si>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</si>
  <si>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</si>
  <si>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</si>
  <si>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</si>
  <si>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</si>
  <si>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</si>
  <si>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</si>
  <si>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</si>
  <si>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</si>
  <si>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</si>
  <si>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</si>
  <si>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</si>
  <si>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</si>
  <si>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</si>
  <si>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</si>
  <si>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</si>
  <si>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</si>
  <si>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</si>
  <si>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</si>
  <si>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</si>
  <si>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</si>
  <si>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</si>
  <si>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</si>
  <si>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</si>
  <si>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</si>
  <si>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</si>
  <si>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</si>
  <si>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</si>
  <si>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</si>
  <si>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</si>
  <si>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</si>
  <si>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</si>
  <si>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</si>
  <si>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</si>
  <si>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</si>
  <si>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</si>
  <si>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</si>
  <si>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</si>
  <si>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</si>
  <si>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</si>
  <si>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</si>
  <si>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</si>
  <si>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</si>
  <si>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</si>
  <si>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</si>
  <si>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</si>
  <si>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</si>
  <si>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</si>
  <si>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</si>
  <si>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</si>
  <si>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</si>
  <si>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</si>
  <si>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</si>
  <si>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</si>
  <si>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</si>
  <si>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</si>
  <si>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</si>
  <si>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</si>
  <si>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</si>
  <si>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</si>
  <si>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</si>
  <si>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</si>
  <si>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</si>
  <si>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</si>
  <si>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</si>
  <si>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</si>
  <si>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</si>
  <si>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</si>
  <si>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</si>
  <si>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</si>
  <si>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</si>
  <si>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</si>
  <si>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</si>
  <si>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</si>
  <si>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</si>
  <si>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</si>
  <si>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</si>
  <si>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</si>
  <si>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</si>
  <si>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</si>
  <si>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</si>
  <si>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</si>
  <si>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</si>
  <si>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</si>
  <si>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</si>
  <si>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</si>
  <si>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</si>
  <si>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</si>
  <si>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</si>
  <si>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</si>
  <si>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</si>
  <si>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</si>
  <si>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</si>
  <si>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</si>
  <si>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</si>
  <si>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</si>
  <si>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</si>
  <si>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</si>
  <si>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</si>
  <si>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</si>
  <si>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</si>
  <si>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</si>
  <si>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</si>
  <si>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</si>
  <si>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</si>
  <si>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</si>
  <si>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</si>
  <si>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</si>
  <si>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</si>
  <si>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</si>
  <si>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</si>
  <si>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</si>
  <si>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</si>
  <si>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</si>
  <si>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</si>
  <si>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</si>
  <si>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</si>
  <si>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</si>
  <si>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</si>
  <si>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</si>
  <si>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</si>
  <si>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</si>
  <si>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</si>
  <si>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</si>
  <si>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</si>
  <si>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</si>
  <si>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</si>
  <si>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</si>
  <si>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</si>
  <si>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</si>
  <si>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</si>
  <si>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</si>
  <si>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</si>
  <si>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</si>
  <si>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</si>
  <si>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</si>
  <si>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</si>
  <si>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</si>
  <si>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</si>
  <si>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</si>
  <si>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</si>
  <si>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</si>
  <si>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</si>
  <si>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</si>
  <si>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</si>
  <si>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</si>
  <si>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</si>
  <si>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</si>
  <si>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</si>
  <si>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</si>
  <si>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</si>
  <si>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</si>
  <si>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</si>
  <si>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</si>
  <si>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</si>
  <si>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</si>
  <si>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</si>
  <si>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</si>
  <si>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</si>
  <si>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</si>
  <si>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</si>
  <si>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</si>
  <si>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</si>
  <si>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</si>
  <si>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</si>
  <si>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</si>
  <si>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</si>
  <si>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</si>
  <si>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</si>
  <si>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</si>
  <si>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</si>
  <si>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</si>
  <si>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</si>
  <si>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</si>
  <si>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</si>
  <si>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</si>
  <si>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</si>
  <si>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</si>
  <si>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</si>
  <si>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</si>
  <si>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</si>
  <si>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</si>
  <si>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</si>
  <si>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</si>
  <si>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</si>
  <si>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</si>
  <si>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</si>
  <si>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</si>
  <si>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</si>
  <si>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</si>
  <si>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</si>
  <si>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</si>
  <si>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</si>
  <si>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</si>
  <si>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</si>
  <si>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</si>
  <si>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</si>
  <si>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</si>
  <si>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</si>
  <si>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</si>
  <si>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</si>
  <si>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</si>
  <si>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</si>
  <si>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</si>
  <si>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</si>
  <si>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</si>
  <si>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</si>
  <si>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</si>
  <si>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</si>
  <si>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</si>
  <si>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</si>
  <si>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</si>
  <si>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</si>
  <si>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</si>
  <si>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</si>
  <si>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</si>
  <si>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</si>
  <si>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</si>
  <si>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</si>
  <si>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</si>
  <si>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</si>
  <si>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</si>
  <si>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</si>
  <si>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</si>
  <si>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</si>
  <si>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</si>
  <si>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</si>
  <si>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</si>
  <si>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</si>
  <si>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</si>
  <si>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</si>
  <si>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</si>
  <si>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</si>
  <si>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</si>
  <si>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</si>
  <si>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</si>
  <si>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</si>
  <si>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</si>
  <si>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</si>
  <si>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</si>
  <si>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</si>
  <si>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</si>
  <si>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</si>
  <si>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</si>
  <si>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</si>
  <si>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</si>
  <si>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</si>
  <si>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</si>
  <si>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</si>
  <si>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</si>
  <si>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</si>
  <si>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</si>
  <si>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</si>
  <si>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</si>
  <si>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</si>
  <si>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</si>
  <si>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</si>
  <si>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</si>
  <si>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</si>
  <si>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</si>
  <si>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</si>
  <si>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</si>
  <si>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</si>
  <si>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</si>
  <si>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</si>
  <si>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</si>
  <si>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</si>
  <si>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</si>
  <si>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</si>
  <si>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</si>
  <si>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</si>
  <si>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</si>
  <si>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</si>
  <si>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</si>
  <si>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</si>
  <si>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</si>
  <si>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</si>
  <si>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</si>
  <si>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</si>
  <si>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</si>
  <si>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</si>
  <si>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</si>
  <si>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</si>
  <si>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</si>
  <si>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</si>
  <si>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</si>
  <si>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</si>
  <si>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</si>
  <si>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</si>
  <si>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</si>
  <si>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</si>
  <si>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</si>
  <si>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</si>
  <si>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</si>
  <si>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</si>
  <si>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</si>
  <si>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</si>
  <si>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</si>
  <si>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</si>
  <si>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</si>
  <si>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</si>
  <si>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</si>
  <si>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</si>
  <si>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</si>
  <si>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</si>
  <si>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</si>
  <si>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</si>
  <si>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</si>
  <si>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</si>
  <si>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</si>
  <si>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</si>
  <si>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</si>
  <si>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</si>
  <si>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</si>
  <si>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</si>
  <si>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</si>
  <si>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</si>
  <si>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</si>
  <si>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</si>
  <si>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</si>
  <si>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</si>
  <si>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</si>
  <si>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</si>
  <si>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</si>
  <si>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</si>
  <si>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</si>
  <si>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</si>
  <si>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</si>
  <si>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</si>
  <si>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</si>
  <si>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</si>
  <si>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</si>
  <si>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</si>
  <si>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</si>
  <si>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</si>
  <si>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</si>
  <si>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</si>
  <si>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</si>
  <si>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</si>
  <si>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</si>
  <si>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</si>
  <si>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</si>
  <si>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</si>
  <si>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</si>
  <si>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</si>
  <si>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</si>
  <si>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</si>
  <si>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</si>
  <si>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</si>
  <si>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</si>
  <si>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</si>
  <si>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</si>
  <si>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</si>
  <si>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</si>
  <si>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</si>
  <si>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</si>
  <si>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</si>
  <si>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</si>
  <si>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</si>
  <si>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</si>
  <si>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</si>
  <si>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</si>
  <si>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</si>
  <si>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</si>
  <si>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</si>
  <si>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</si>
  <si>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</si>
  <si>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</si>
  <si>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</si>
  <si>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</si>
  <si>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</si>
  <si>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</si>
  <si>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</si>
  <si>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</si>
  <si>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</si>
  <si>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</si>
  <si>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</si>
  <si>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</si>
  <si>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</si>
  <si>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</si>
  <si>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</si>
  <si>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</si>
  <si>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</si>
  <si>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</si>
  <si>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</si>
  <si>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</si>
  <si>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</si>
  <si>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</si>
  <si>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</si>
  <si>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</si>
  <si>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</si>
  <si>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</si>
  <si>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</si>
  <si>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</si>
  <si>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</si>
  <si>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</si>
  <si>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</si>
  <si>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</si>
  <si>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</si>
  <si>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</si>
  <si>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</si>
  <si>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</si>
  <si>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</si>
  <si>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</si>
  <si>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</si>
  <si>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</si>
  <si>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</si>
  <si>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</si>
  <si>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</si>
  <si>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</si>
  <si>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</si>
  <si>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</si>
  <si>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</si>
  <si>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</si>
  <si>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</si>
  <si>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</si>
  <si>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</si>
  <si>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</si>
  <si>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</si>
  <si>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</si>
  <si>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</si>
  <si>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</si>
  <si>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</si>
  <si>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</si>
  <si>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</si>
  <si>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</si>
  <si>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</si>
  <si>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</si>
  <si>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</si>
  <si>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</si>
  <si>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</si>
  <si>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</si>
  <si>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</si>
  <si>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</si>
  <si>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</si>
  <si>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</si>
  <si>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</si>
  <si>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</si>
  <si>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</si>
  <si>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</si>
  <si>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</si>
  <si>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</si>
  <si>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</si>
  <si>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</si>
  <si>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</si>
  <si>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</si>
  <si>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</si>
  <si>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</si>
  <si>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</si>
  <si>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</si>
  <si>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</si>
  <si>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</si>
  <si>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</si>
  <si>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</si>
  <si>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</si>
  <si>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</si>
  <si>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</si>
  <si>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</si>
  <si>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</si>
  <si>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</si>
  <si>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</si>
  <si>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</si>
  <si>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</si>
  <si>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</si>
  <si>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</si>
  <si>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</si>
  <si>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</si>
  <si>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</si>
  <si>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</si>
  <si>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</si>
  <si>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</si>
  <si>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</si>
  <si>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</si>
  <si>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</si>
  <si>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</si>
  <si>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</si>
  <si>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</si>
  <si>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</si>
  <si>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</si>
  <si>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</si>
  <si>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</si>
  <si>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</si>
  <si>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</si>
  <si>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</si>
  <si>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</si>
  <si>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</si>
  <si>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</si>
  <si>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</si>
  <si>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</si>
  <si>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</si>
  <si>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</si>
  <si>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</si>
  <si>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</si>
  <si>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</si>
  <si>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</si>
  <si>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</si>
  <si>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</si>
  <si>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</si>
  <si>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</si>
  <si>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</si>
  <si>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</si>
  <si>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</si>
  <si>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</si>
  <si>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</si>
  <si>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</si>
  <si>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</si>
  <si>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</si>
  <si>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</si>
  <si>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</si>
  <si>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</si>
  <si>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</si>
  <si>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</si>
  <si>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</si>
  <si>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</si>
  <si>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</si>
  <si>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</si>
  <si>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</si>
  <si>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</si>
  <si>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</si>
  <si>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</si>
  <si>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</si>
  <si>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</si>
  <si>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</si>
  <si>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</si>
  <si>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</si>
  <si>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</si>
  <si>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</si>
  <si>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</si>
  <si>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</si>
  <si>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</si>
  <si>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</si>
  <si>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</si>
  <si>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</si>
  <si>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</si>
  <si>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</si>
  <si>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</si>
  <si>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</si>
  <si>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</si>
  <si>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</si>
  <si>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</si>
  <si>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</si>
  <si>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</si>
  <si>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</si>
  <si>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</si>
  <si>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</si>
  <si>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</si>
  <si>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</si>
  <si>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</si>
  <si>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</si>
  <si>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</si>
  <si>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</si>
  <si>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</si>
  <si>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</si>
  <si>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</si>
  <si>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</si>
  <si>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</si>
  <si>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</si>
  <si>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</si>
  <si>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</si>
  <si>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</si>
  <si>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</si>
  <si>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</si>
  <si>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</si>
  <si>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</si>
  <si>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</si>
  <si>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</si>
  <si>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</si>
  <si>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</si>
  <si>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</si>
  <si>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</si>
  <si>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</si>
  <si>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</si>
  <si>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</si>
  <si>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</si>
  <si>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</si>
  <si>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</si>
  <si>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</si>
  <si>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</si>
  <si>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</si>
  <si>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</si>
  <si>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</si>
  <si>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</si>
  <si>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</si>
  <si>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</si>
  <si>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</si>
  <si>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</si>
  <si>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</si>
  <si>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</si>
  <si>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</si>
  <si>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</si>
  <si>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</si>
  <si>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</si>
  <si>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</si>
  <si>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</si>
  <si>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</si>
  <si>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</si>
  <si>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</si>
  <si>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</si>
  <si>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</si>
  <si>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</si>
  <si>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</si>
  <si>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</si>
  <si>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</si>
  <si>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</si>
  <si>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</si>
  <si>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</si>
  <si>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</si>
  <si>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</si>
  <si>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</si>
  <si>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</si>
  <si>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</si>
  <si>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</si>
  <si>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</si>
  <si>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</si>
  <si>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</si>
  <si>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</si>
  <si>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</si>
  <si>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</si>
  <si>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</si>
  <si>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</si>
  <si>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</si>
  <si>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</si>
  <si>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</si>
  <si>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</si>
  <si>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</si>
  <si>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</si>
  <si>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</si>
  <si>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</si>
  <si>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</si>
  <si>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</si>
  <si>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</si>
  <si>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</si>
  <si>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</si>
  <si>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</si>
  <si>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</si>
  <si>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</si>
  <si>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</si>
  <si>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</si>
  <si>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</si>
  <si>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</si>
  <si>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</si>
  <si>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</si>
  <si>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</si>
  <si>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</si>
  <si>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</si>
  <si>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</si>
  <si>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</si>
  <si>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</si>
  <si>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</si>
  <si>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</si>
  <si>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</si>
  <si>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</si>
  <si>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</si>
  <si>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</si>
  <si>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</si>
  <si>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</si>
  <si>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</si>
  <si>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</si>
  <si>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</si>
  <si>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</si>
  <si>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</si>
  <si>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</si>
  <si>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</si>
  <si>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</si>
  <si>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</si>
  <si>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</si>
  <si>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</si>
  <si>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</si>
  <si>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</si>
  <si>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</si>
  <si>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</si>
  <si>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</si>
  <si>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</si>
  <si>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</si>
  <si>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</si>
  <si>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</si>
  <si>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</si>
  <si>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</si>
  <si>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</si>
  <si>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</si>
  <si>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</si>
  <si>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</si>
  <si>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</si>
  <si>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</si>
  <si>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</si>
  <si>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</si>
  <si>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</si>
  <si>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</si>
  <si>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</si>
  <si>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</si>
  <si>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</si>
  <si>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</si>
  <si>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</si>
  <si>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</si>
  <si>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</si>
  <si>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</si>
  <si>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</si>
  <si>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</si>
  <si>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</si>
  <si>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</si>
  <si>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</si>
  <si>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</si>
  <si>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</si>
  <si>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</si>
  <si>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</si>
  <si>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</si>
  <si>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Tecate Group</t>
  </si>
  <si>
    <t>08-091-2553</t>
  </si>
  <si>
    <t>DUNS 08-091-2553</t>
  </si>
  <si>
    <t>7520 Mission Valley Road, San Diego CA. 921087</t>
  </si>
  <si>
    <t>Jim Kroessler</t>
  </si>
  <si>
    <t>jimk@tecategroup.com</t>
  </si>
  <si>
    <t>619-398-9700</t>
  </si>
  <si>
    <t>DQA</t>
  </si>
  <si>
    <t>http://www.tecategroup.com/about/dec&amp;cert-files/TecateGroup-ConflictMineralsPolicy.pdf</t>
  </si>
  <si>
    <t>All Type CD Ceramic Capacitors</t>
  </si>
  <si>
    <t>All SMD Ceramic Capacitors</t>
  </si>
  <si>
    <t>All Electrolytic Capacitors</t>
  </si>
  <si>
    <t>All Film Capacitors</t>
  </si>
  <si>
    <t>All Conductive Polymer Capacitors</t>
  </si>
  <si>
    <t>All Ultracapacitor Cells</t>
  </si>
  <si>
    <t>PC5-5</t>
  </si>
  <si>
    <t>Type PBF</t>
  </si>
  <si>
    <t>Type PBLE</t>
  </si>
  <si>
    <t>Type PBL 5.4V</t>
  </si>
  <si>
    <t>Type PBLL (passive and active)</t>
  </si>
  <si>
    <t>Type PBLS</t>
  </si>
  <si>
    <t>Type PB (passive and active)</t>
  </si>
  <si>
    <t>All leaded ceramics (CMR &amp; CMA)</t>
  </si>
  <si>
    <t>All electronic assemblies</t>
  </si>
  <si>
    <t>All wire harnesses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</si>
</sst>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ecategroup.com/about/dec&amp;cert-files/TecateGroup-ConflictMinerals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86A944D-B2D9-4167-84F2-87EDCB0F6AF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2C7D285-8B4D-47C3-8975-82774C0E68A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45408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v>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6EDD2B9-82C5-422D-9D97-D79611DDDF54}"/>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4" sqref="C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782</v>
      </c>
      <c r="B5" s="182" t="str">
        <f ca="1">IF(LEN(A5)=0,"",INDEX('Smelter Look-up'!$A:$A,MATCH($A5,'Smelter Look-up'!$E:$E,0)))</f>
        <v>Tin</v>
      </c>
      <c r="C5" s="186" t="str">
        <f ca="1">IF(LEN(A5)=0,"",INDEX('Smelter Look-up'!$C:$C,MATCH($A5,'Smelter Look-up'!$E:$E,0)))</f>
        <v>Tin Smelting Branch of Yunnan Tin Co., Ltd.</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550</v>
      </c>
      <c r="X5" s="227">
        <f t="shared" ref="X5" ca="1" si="0">IF(AND(C5="Smelter not listed",OR(LEN(D5)=0,LEN(E5)=0)),1,0)</f>
        <v>0</v>
      </c>
      <c r="AB5" s="228" t="str">
        <f t="shared" ref="AB5" ca="1" si="1">B5&amp;C5</f>
        <v>TinTin Smelting Branch of Yunnan Tin Co., Ltd.</v>
      </c>
    </row>
    <row r="6" spans="1:34" s="227" customFormat="1" ht="20.100000000000001" customHeight="1">
      <c r="A6" s="262" t="s">
        <v>766</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 ca="1">IF(C6="",NA(),IF(OR(C6="Smelter not listed",C6="Smelter not yet identified"),MATCH($B6&amp;$D6,'Smelter Look-up'!$J:$J,0),MATCH($B6&amp;$C6,'Smelter Look-up'!$J:$J,0)))</f>
        <v>474</v>
      </c>
      <c r="X6" s="227">
        <f t="shared" ref="X6:X37" ca="1" si="3">IF(AND(C6="Smelter not listed",OR(LEN(D6)=0,LEN(E6)=0)),1,0)</f>
        <v>0</v>
      </c>
      <c r="AB6" s="228" t="str">
        <f t="shared" ref="AB6:AB37" ca="1" si="4">B6&amp;C6</f>
        <v>TinMalaysia Smelting Corporation (MSC)</v>
      </c>
    </row>
    <row r="7" spans="1:34" s="227" customFormat="1" ht="20.100000000000001" customHeight="1">
      <c r="A7" s="262" t="s">
        <v>794</v>
      </c>
      <c r="B7" s="182" t="str">
        <f ca="1">IF(LEN(A7)=0,"",INDEX('Smelter Look-up'!$A:$A,MATCH($A7,'Smelter Look-up'!$E:$E,0)))</f>
        <v>Tin</v>
      </c>
      <c r="C7" s="186" t="str">
        <f ca="1">IF(LEN(A7)=0,"",INDEX('Smelter Look-up'!$C:$C,MATCH($A7,'Smelter Look-up'!$E:$E,0)))</f>
        <v>PT Timah Tbk Kundur</v>
      </c>
      <c r="D7" s="230"/>
      <c r="E7" s="182" t="str">
        <f ca="1">IF(ISERROR($V7),"",OFFSET('Smelter Look-up'!$D$4,$V7-4,0)&amp;"")</f>
        <v>INDONESIA</v>
      </c>
      <c r="F7" s="182" t="str">
        <f ca="1">IF(ISERROR($V7),"",OFFSET('Smelter Look-up'!$E$4,$V7-4,0))</f>
        <v>CID001477</v>
      </c>
      <c r="G7" s="182" t="str">
        <f ca="1">IF(C7=$X$4,IF(ISERROR($V7),"Enter smelter details","RMI"),IF(ISERROR($V7),"",OFFSET('Smelter Look-up'!$F$4,$V7-4,0)))</f>
        <v>RMI</v>
      </c>
      <c r="H7" s="183">
        <f ca="1">IF(ISERROR($V7),"",OFFSET('Smelter Look-up'!$G$4,$V7-4,0))</f>
        <v>0</v>
      </c>
      <c r="I7" s="184" t="str">
        <f ca="1">IF(ISERROR($V7),"",OFFSET('Smelter Look-up'!$H$4,$V7-4,0))</f>
        <v>Kundur</v>
      </c>
      <c r="J7" s="184" t="str">
        <f ca="1">IF(ISERROR($V7),"",OFFSET('Smelter Look-up'!$I$4,$V7-4,0))</f>
        <v>Riau</v>
      </c>
      <c r="K7" s="224"/>
      <c r="L7" s="224"/>
      <c r="M7" s="224"/>
      <c r="N7" s="224"/>
      <c r="O7" s="224"/>
      <c r="P7" s="185"/>
      <c r="Q7" s="225"/>
      <c r="R7" s="182" t="str">
        <f ca="1">IF(ISERROR($V7),"",OFFSET('Smelter Look-up'!$C$4,$V7-4,0)&amp;"")</f>
        <v>PT Timah Tbk Kundur</v>
      </c>
      <c r="S7" s="181" t="str">
        <f t="shared" ca="1" si="2"/>
        <v>ID</v>
      </c>
      <c r="T7" s="181" t="str">
        <f ca="1">IF(B7="","",IF(ISERROR(MATCH($J7,SorP!$B$1:$B$6226,0)),"",INDIRECT("'SorP'!$A$"&amp;MATCH($S7&amp;$J7,SorP!C:C,0))))</f>
        <v>ID-RI</v>
      </c>
      <c r="U7" s="201"/>
      <c r="V7" s="226">
        <f ca="1">IF(C7="",NA(),IF(OR(C7="Smelter not listed",C7="Smelter not yet identified"),MATCH($B7&amp;$D7,'Smelter Look-up'!$J:$J,0),MATCH($B7&amp;$C7,'Smelter Look-up'!$J:$J,0)))</f>
        <v>532</v>
      </c>
      <c r="X7" s="227">
        <f t="shared" ca="1" si="3"/>
        <v>0</v>
      </c>
      <c r="AB7" s="228" t="str">
        <f t="shared" ca="1" si="4"/>
        <v>TinPT Timah Tbk Kundur</v>
      </c>
    </row>
    <row r="8" spans="1:34" s="227" customFormat="1" ht="20.100000000000001" customHeight="1">
      <c r="A8" s="262" t="s">
        <v>775</v>
      </c>
      <c r="B8" s="182" t="str">
        <f ca="1">IF(LEN(A8)=0,"",INDEX('Smelter Look-up'!$A:$A,MATCH($A8,'Smelter Look-up'!$E:$E,0)))</f>
        <v>Tin</v>
      </c>
      <c r="C8" s="186" t="str">
        <f ca="1">IF(LEN(A8)=0,"",INDEX('Smelter Look-up'!$C:$C,MATCH($A8,'Smelter Look-up'!$E:$E,0)))</f>
        <v>PT Refined Bangka Tin</v>
      </c>
      <c r="D8" s="230"/>
      <c r="E8" s="182" t="str">
        <f ca="1">IF(ISERROR($V8),"",OFFSET('Smelter Look-up'!$D$4,$V8-4,0)&amp;"")</f>
        <v>INDONESIA</v>
      </c>
      <c r="F8" s="182" t="str">
        <f ca="1">IF(ISERROR($V8),"",OFFSET('Smelter Look-up'!$E$4,$V8-4,0))</f>
        <v>CID001460</v>
      </c>
      <c r="G8" s="182" t="str">
        <f ca="1">IF(C8=$X$4,IF(ISERROR($V8),"Enter smelter details","RMI"),IF(ISERROR($V8),"",OFFSET('Smelter Look-up'!$F$4,$V8-4,0)))</f>
        <v>RMI</v>
      </c>
      <c r="H8" s="183">
        <f ca="1">IF(ISERROR($V8),"",OFFSET('Smelter Look-up'!$G$4,$V8-4,0))</f>
        <v>0</v>
      </c>
      <c r="I8" s="184" t="str">
        <f ca="1">IF(ISERROR($V8),"",OFFSET('Smelter Look-up'!$H$4,$V8-4,0))</f>
        <v>Sungailiat</v>
      </c>
      <c r="J8" s="184" t="str">
        <f ca="1">IF(ISERROR($V8),"",OFFSET('Smelter Look-up'!$I$4,$V8-4,0))</f>
        <v>Kepulauan Bangka Belitung</v>
      </c>
      <c r="K8" s="224"/>
      <c r="L8" s="224"/>
      <c r="M8" s="224"/>
      <c r="N8" s="224"/>
      <c r="O8" s="224"/>
      <c r="P8" s="185"/>
      <c r="Q8" s="225"/>
      <c r="R8" s="182" t="str">
        <f ca="1">IF(ISERROR($V8),"",OFFSET('Smelter Look-up'!$C$4,$V8-4,0)&amp;"")</f>
        <v>PT Refined Bangka Tin</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526</v>
      </c>
      <c r="X8" s="227">
        <f t="shared" ca="1" si="3"/>
        <v>0</v>
      </c>
      <c r="AB8" s="228" t="str">
        <f t="shared" ca="1" si="4"/>
        <v>TinPT Refined Bangka Tin</v>
      </c>
    </row>
    <row r="9" spans="1:34" s="227" customFormat="1" ht="20.100000000000001" customHeight="1">
      <c r="A9" s="262" t="s">
        <v>758</v>
      </c>
      <c r="B9" s="182" t="str">
        <f ca="1">IF(LEN(A9)=0,"",INDEX('Smelter Look-up'!$A:$A,MATCH($A9,'Smelter Look-up'!$E:$E,0)))</f>
        <v>Tin</v>
      </c>
      <c r="C9" s="186" t="str">
        <f ca="1">IF(LEN(A9)=0,"",INDEX('Smelter Look-up'!$C:$C,MATCH($A9,'Smelter Look-up'!$E:$E,0)))</f>
        <v>Alpha</v>
      </c>
      <c r="D9" s="230"/>
      <c r="E9" s="182" t="str">
        <f ca="1">IF(ISERROR($V9),"",OFFSET('Smelter Look-up'!$D$4,$V9-4,0)&amp;"")</f>
        <v>UNITED STATES OF AMERICA</v>
      </c>
      <c r="F9" s="182" t="str">
        <f ca="1">IF(ISERROR($V9),"",OFFSET('Smelter Look-up'!$E$4,$V9-4,0))</f>
        <v>CID000292</v>
      </c>
      <c r="G9" s="182" t="str">
        <f ca="1">IF(C9=$X$4,IF(ISERROR($V9),"Enter smelter details","RMI"),IF(ISERROR($V9),"",OFFSET('Smelter Look-up'!$F$4,$V9-4,0)))</f>
        <v>RMI</v>
      </c>
      <c r="H9" s="183">
        <f ca="1">IF(ISERROR($V9),"",OFFSET('Smelter Look-up'!$G$4,$V9-4,0))</f>
        <v>0</v>
      </c>
      <c r="I9" s="184" t="str">
        <f ca="1">IF(ISERROR($V9),"",OFFSET('Smelter Look-up'!$H$4,$V9-4,0))</f>
        <v>Altoona</v>
      </c>
      <c r="J9" s="184" t="str">
        <f ca="1">IF(ISERROR($V9),"",OFFSET('Smelter Look-up'!$I$4,$V9-4,0))</f>
        <v>Pennsylvania</v>
      </c>
      <c r="K9" s="224"/>
      <c r="L9" s="224"/>
      <c r="M9" s="224"/>
      <c r="N9" s="224"/>
      <c r="O9" s="224"/>
      <c r="P9" s="185"/>
      <c r="Q9" s="225"/>
      <c r="R9" s="182" t="str">
        <f ca="1">IF(ISERROR($V9),"",OFFSET('Smelter Look-up'!$C$4,$V9-4,0)&amp;"")</f>
        <v>Alpha</v>
      </c>
      <c r="S9" s="181" t="str">
        <f t="shared" ca="1" si="2"/>
        <v>US</v>
      </c>
      <c r="T9" s="181" t="str">
        <f ca="1">IF(B9="","",IF(ISERROR(MATCH($J9,SorP!$B$1:$B$6226,0)),"",INDIRECT("'SorP'!$A$"&amp;MATCH($S9&amp;$J9,SorP!C:C,0))))</f>
        <v>US-PA</v>
      </c>
      <c r="U9" s="201"/>
      <c r="V9" s="226">
        <f ca="1">IF(C9="",NA(),IF(OR(C9="Smelter not listed",C9="Smelter not yet identified"),MATCH($B9&amp;$D9,'Smelter Look-up'!$J:$J,0),MATCH($B9&amp;$C9,'Smelter Look-up'!$J:$J,0)))</f>
        <v>400</v>
      </c>
      <c r="X9" s="227">
        <f t="shared" ca="1" si="3"/>
        <v>0</v>
      </c>
      <c r="AB9" s="228" t="str">
        <f t="shared" ca="1" si="4"/>
        <v>TinAlpha</v>
      </c>
    </row>
    <row r="10" spans="1:34" s="227" customFormat="1" ht="20.100000000000001" customHeight="1">
      <c r="A10" s="262" t="s">
        <v>779</v>
      </c>
      <c r="B10" s="182" t="str">
        <f ca="1">IF(LEN(A10)=0,"",INDEX('Smelter Look-up'!$A:$A,MATCH($A10,'Smelter Look-up'!$E:$E,0)))</f>
        <v>Tin</v>
      </c>
      <c r="C10" s="186" t="str">
        <f ca="1">IF(LEN(A10)=0,"",INDEX('Smelter Look-up'!$C:$C,MATCH($A10,'Smelter Look-up'!$E:$E,0)))</f>
        <v>Thaisarco</v>
      </c>
      <c r="D10" s="230"/>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 ca="1">IF(C10="",NA(),IF(OR(C10="Smelter not listed",C10="Smelter not yet identified"),MATCH($B10&amp;$D10,'Smelter Look-up'!$J:$J,0),MATCH($B10&amp;$C10,'Smelter Look-up'!$J:$J,0)))</f>
        <v>547</v>
      </c>
      <c r="X10" s="227">
        <f t="shared" ca="1" si="3"/>
        <v>0</v>
      </c>
      <c r="AB10" s="228" t="str">
        <f t="shared" ca="1" si="4"/>
        <v>TinThaisarco</v>
      </c>
    </row>
    <row r="11" spans="1:34" s="227" customFormat="1" ht="20.100000000000001" customHeight="1">
      <c r="A11" s="262" t="s">
        <v>768</v>
      </c>
      <c r="B11" s="182" t="str">
        <f ca="1">IF(LEN(A11)=0,"",INDEX('Smelter Look-up'!$A:$A,MATCH($A11,'Smelter Look-up'!$E:$E,0)))</f>
        <v>Tin</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487</v>
      </c>
      <c r="X11" s="227">
        <f t="shared" ca="1" si="3"/>
        <v>0</v>
      </c>
      <c r="AB11" s="228" t="str">
        <f t="shared" ca="1" si="4"/>
        <v>TinMinsur</v>
      </c>
    </row>
    <row r="12" spans="1:34" s="227" customFormat="1" ht="20.100000000000001" customHeight="1">
      <c r="A12" s="262" t="s">
        <v>702</v>
      </c>
      <c r="B12" s="182" t="str">
        <f ca="1">IF(LEN(A12)=0,"",INDEX('Smelter Look-up'!$A:$A,MATCH($A12,'Smelter Look-up'!$E:$E,0)))</f>
        <v>Gold</v>
      </c>
      <c r="C12" s="186" t="str">
        <f ca="1">IF(LEN(A12)=0,"",INDEX('Smelter Look-up'!$C:$C,MATCH($A12,'Smelter Look-up'!$E:$E,0)))</f>
        <v>Metalor USA Refining Corporation</v>
      </c>
      <c r="D12" s="230"/>
      <c r="E12" s="182" t="str">
        <f ca="1">IF(ISERROR($V12),"",OFFSET('Smelter Look-up'!$D$4,$V12-4,0)&amp;"")</f>
        <v>UNITED STATES OF AMERICA</v>
      </c>
      <c r="F12" s="182" t="str">
        <f ca="1">IF(ISERROR($V12),"",OFFSET('Smelter Look-up'!$E$4,$V12-4,0))</f>
        <v>CID001157</v>
      </c>
      <c r="G12" s="182" t="str">
        <f ca="1">IF(C12=$X$4,IF(ISERROR($V12),"Enter smelter details","RMI"),IF(ISERROR($V12),"",OFFSET('Smelter Look-up'!$F$4,$V12-4,0)))</f>
        <v>RMI</v>
      </c>
      <c r="H12" s="183">
        <f ca="1">IF(ISERROR($V12),"",OFFSET('Smelter Look-up'!$G$4,$V12-4,0))</f>
        <v>0</v>
      </c>
      <c r="I12" s="184" t="str">
        <f ca="1">IF(ISERROR($V12),"",OFFSET('Smelter Look-up'!$H$4,$V12-4,0))</f>
        <v>North Attleboro</v>
      </c>
      <c r="J12" s="184" t="str">
        <f ca="1">IF(ISERROR($V12),"",OFFSET('Smelter Look-up'!$I$4,$V12-4,0))</f>
        <v>Massachusetts</v>
      </c>
      <c r="K12" s="224"/>
      <c r="L12" s="224"/>
      <c r="M12" s="224"/>
      <c r="N12" s="224"/>
      <c r="O12" s="224"/>
      <c r="P12" s="185"/>
      <c r="Q12" s="225"/>
      <c r="R12" s="182" t="str">
        <f ca="1">IF(ISERROR($V12),"",OFFSET('Smelter Look-up'!$C$4,$V12-4,0)&amp;"")</f>
        <v>Metalor USA Refining Corporation</v>
      </c>
      <c r="S12" s="181" t="str">
        <f t="shared" ca="1" si="2"/>
        <v>US</v>
      </c>
      <c r="T12" s="181" t="str">
        <f ca="1">IF(B12="","",IF(ISERROR(MATCH($J12,SorP!$B$1:$B$6226,0)),"",INDIRECT("'SorP'!$A$"&amp;MATCH($S12&amp;$J12,SorP!C:C,0))))</f>
        <v>US-MA</v>
      </c>
      <c r="U12" s="201"/>
      <c r="V12" s="226">
        <f ca="1">IF(C12="",NA(),IF(OR(C12="Smelter not listed",C12="Smelter not yet identified"),MATCH($B12&amp;$D12,'Smelter Look-up'!$J:$J,0),MATCH($B12&amp;$C12,'Smelter Look-up'!$J:$J,0)))</f>
        <v>187</v>
      </c>
      <c r="X12" s="227">
        <f t="shared" ca="1" si="3"/>
        <v>0</v>
      </c>
      <c r="AB12" s="228" t="str">
        <f t="shared" ca="1" si="4"/>
        <v>GoldMetalor USA Refining Corporation</v>
      </c>
    </row>
    <row r="13" spans="1:34" s="227" customFormat="1" ht="20.100000000000001" customHeight="1">
      <c r="A13" s="262" t="s">
        <v>722</v>
      </c>
      <c r="B13" s="182" t="str">
        <f ca="1">IF(LEN(A13)=0,"",INDEX('Smelter Look-up'!$A:$A,MATCH($A13,'Smelter Look-up'!$E:$E,0)))</f>
        <v>Gold</v>
      </c>
      <c r="C13" s="186" t="str">
        <f ca="1">IF(LEN(A13)=0,"",INDEX('Smelter Look-up'!$C:$C,MATCH($A13,'Smelter Look-up'!$E:$E,0)))</f>
        <v>Shandong Zhaojin Gold &amp; Silver Refinery Co., Ltd.</v>
      </c>
      <c r="D13" s="230"/>
      <c r="E13" s="182" t="str">
        <f ca="1">IF(ISERROR($V13),"",OFFSET('Smelter Look-up'!$D$4,$V13-4,0)&amp;"")</f>
        <v>CHINA</v>
      </c>
      <c r="F13" s="182" t="str">
        <f ca="1">IF(ISERROR($V13),"",OFFSET('Smelter Look-up'!$E$4,$V13-4,0))</f>
        <v>CID001622</v>
      </c>
      <c r="G13" s="182" t="str">
        <f ca="1">IF(C13=$X$4,IF(ISERROR($V13),"Enter smelter details","RMI"),IF(ISERROR($V13),"",OFFSET('Smelter Look-up'!$F$4,$V13-4,0)))</f>
        <v>RMI</v>
      </c>
      <c r="H13" s="183">
        <f ca="1">IF(ISERROR($V13),"",OFFSET('Smelter Look-up'!$G$4,$V13-4,0))</f>
        <v>0</v>
      </c>
      <c r="I13" s="184" t="str">
        <f ca="1">IF(ISERROR($V13),"",OFFSET('Smelter Look-up'!$H$4,$V13-4,0))</f>
        <v>Zhaoyuan</v>
      </c>
      <c r="J13" s="184" t="str">
        <f ca="1">IF(ISERROR($V13),"",OFFSET('Smelter Look-up'!$I$4,$V13-4,0))</f>
        <v>Shandong Sheng</v>
      </c>
      <c r="K13" s="224"/>
      <c r="L13" s="224"/>
      <c r="M13" s="224"/>
      <c r="N13" s="224"/>
      <c r="O13" s="224"/>
      <c r="P13" s="185"/>
      <c r="Q13" s="225"/>
      <c r="R13" s="182" t="str">
        <f ca="1">IF(ISERROR($V13),"",OFFSET('Smelter Look-up'!$C$4,$V13-4,0)&amp;"")</f>
        <v>Shandong Zhaojin Gold &amp; Silver Refinery Co., Ltd.</v>
      </c>
      <c r="S13" s="181" t="str">
        <f t="shared" ca="1" si="2"/>
        <v>CN</v>
      </c>
      <c r="T13" s="181" t="str">
        <f ca="1">IF(B13="","",IF(ISERROR(MATCH($J13,SorP!$B$1:$B$6226,0)),"",INDIRECT("'SorP'!$A$"&amp;MATCH($S13&amp;$J13,SorP!C:C,0))))</f>
        <v>CN-SD</v>
      </c>
      <c r="U13" s="201"/>
      <c r="V13" s="226">
        <f ca="1">IF(C13="",NA(),IF(OR(C13="Smelter not listed",C13="Smelter not yet identified"),MATCH($B13&amp;$D13,'Smelter Look-up'!$J:$J,0),MATCH($B13&amp;$C13,'Smelter Look-up'!$J:$J,0)))</f>
        <v>256</v>
      </c>
      <c r="X13" s="227">
        <f t="shared" ca="1" si="3"/>
        <v>0</v>
      </c>
      <c r="AB13" s="228" t="str">
        <f t="shared" ca="1" si="4"/>
        <v>GoldShandong Zhaojin Gold &amp; Silver Refinery Co., Ltd.</v>
      </c>
    </row>
    <row r="14" spans="1:34" s="227" customFormat="1" ht="20.100000000000001" customHeight="1">
      <c r="A14" s="262" t="s">
        <v>728</v>
      </c>
      <c r="B14" s="182" t="str">
        <f ca="1">IF(LEN(A14)=0,"",INDEX('Smelter Look-up'!$A:$A,MATCH($A14,'Smelter Look-up'!$E:$E,0)))</f>
        <v>Gold</v>
      </c>
      <c r="C14" s="186" t="str">
        <f ca="1">IF(LEN(A14)=0,"",INDEX('Smelter Look-up'!$C:$C,MATCH($A14,'Smelter Look-up'!$E:$E,0)))</f>
        <v>Shandong Gold Smelting Co., Ltd.</v>
      </c>
      <c r="D14" s="230"/>
      <c r="E14" s="182" t="str">
        <f ca="1">IF(ISERROR($V14),"",OFFSET('Smelter Look-up'!$D$4,$V14-4,0)&amp;"")</f>
        <v>CHINA</v>
      </c>
      <c r="F14" s="182" t="str">
        <f ca="1">IF(ISERROR($V14),"",OFFSET('Smelter Look-up'!$E$4,$V14-4,0))</f>
        <v>CID001916</v>
      </c>
      <c r="G14" s="182" t="str">
        <f ca="1">IF(C14=$X$4,IF(ISERROR($V14),"Enter smelter details","RMI"),IF(ISERROR($V14),"",OFFSET('Smelter Look-up'!$F$4,$V14-4,0)))</f>
        <v>RMI</v>
      </c>
      <c r="H14" s="183">
        <f ca="1">IF(ISERROR($V14),"",OFFSET('Smelter Look-up'!$G$4,$V14-4,0))</f>
        <v>0</v>
      </c>
      <c r="I14" s="184" t="str">
        <f ca="1">IF(ISERROR($V14),"",OFFSET('Smelter Look-up'!$H$4,$V14-4,0))</f>
        <v>Laizhou</v>
      </c>
      <c r="J14" s="184" t="str">
        <f ca="1">IF(ISERROR($V14),"",OFFSET('Smelter Look-up'!$I$4,$V14-4,0))</f>
        <v>Shandong Sheng</v>
      </c>
      <c r="K14" s="224"/>
      <c r="L14" s="224"/>
      <c r="M14" s="224"/>
      <c r="N14" s="224"/>
      <c r="O14" s="224"/>
      <c r="P14" s="185"/>
      <c r="Q14" s="225"/>
      <c r="R14" s="182" t="str">
        <f ca="1">IF(ISERROR($V14),"",OFFSET('Smelter Look-up'!$C$4,$V14-4,0)&amp;"")</f>
        <v>Shandong Gold Smelting Co., Ltd.</v>
      </c>
      <c r="S14" s="181" t="str">
        <f t="shared" ca="1" si="2"/>
        <v>CN</v>
      </c>
      <c r="T14" s="181" t="str">
        <f ca="1">IF(B14="","",IF(ISERROR(MATCH($J14,SorP!$B$1:$B$6226,0)),"",INDIRECT("'SorP'!$A$"&amp;MATCH($S14&amp;$J14,SorP!C:C,0))))</f>
        <v>CN-SD</v>
      </c>
      <c r="U14" s="201"/>
      <c r="V14" s="226">
        <f ca="1">IF(C14="",NA(),IF(OR(C14="Smelter not listed",C14="Smelter not yet identified"),MATCH($B14&amp;$D14,'Smelter Look-up'!$J:$J,0),MATCH($B14&amp;$C14,'Smelter Look-up'!$J:$J,0)))</f>
        <v>249</v>
      </c>
      <c r="X14" s="227">
        <f t="shared" ca="1" si="3"/>
        <v>0</v>
      </c>
      <c r="AB14" s="228" t="str">
        <f t="shared" ca="1" si="4"/>
        <v>GoldShandong Gold Smelting Co., Ltd.</v>
      </c>
    </row>
    <row r="15" spans="1:34" s="227" customFormat="1" ht="20.100000000000001" customHeight="1">
      <c r="A15" s="262" t="s">
        <v>781</v>
      </c>
      <c r="B15" s="182" t="str">
        <f ca="1">IF(LEN(A15)=0,"",INDEX('Smelter Look-up'!$A:$A,MATCH($A15,'Smelter Look-up'!$E:$E,0)))</f>
        <v>Tin</v>
      </c>
      <c r="C15" s="186" t="str">
        <f ca="1">IF(LEN(A15)=0,"",INDEX('Smelter Look-up'!$C:$C,MATCH($A15,'Smelter Look-up'!$E:$E,0)))</f>
        <v>Yunnan Chengfeng Non-ferrous Metals Co., Ltd.</v>
      </c>
      <c r="D15" s="230"/>
      <c r="E15" s="182" t="str">
        <f ca="1">IF(ISERROR($V15),"",OFFSET('Smelter Look-up'!$D$4,$V15-4,0)&amp;"")</f>
        <v>CHINA</v>
      </c>
      <c r="F15" s="182" t="str">
        <f ca="1">IF(ISERROR($V15),"",OFFSET('Smelter Look-up'!$E$4,$V15-4,0))</f>
        <v>CID002158</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Yunnan Chengfeng Non-ferrous Metals Co., Ltd.</v>
      </c>
      <c r="S15" s="181" t="str">
        <f t="shared" ca="1" si="2"/>
        <v>CN</v>
      </c>
      <c r="T15" s="181" t="str">
        <f ca="1">IF(B15="","",IF(ISERROR(MATCH($J15,SorP!$B$1:$B$6226,0)),"",INDIRECT("'SorP'!$A$"&amp;MATCH($S15&amp;$J15,SorP!C:C,0))))</f>
        <v>CN-YN</v>
      </c>
      <c r="U15" s="201"/>
      <c r="V15" s="226">
        <f ca="1">IF(C15="",NA(),IF(OR(C15="Smelter not listed",C15="Smelter not yet identified"),MATCH($B15&amp;$D15,'Smelter Look-up'!$J:$J,0),MATCH($B15&amp;$C15,'Smelter Look-up'!$J:$J,0)))</f>
        <v>565</v>
      </c>
      <c r="X15" s="227">
        <f t="shared" ca="1" si="3"/>
        <v>0</v>
      </c>
      <c r="AB15" s="228" t="str">
        <f t="shared" ca="1" si="4"/>
        <v>TinYunnan Chengfeng Non-ferrous Metals Co., Ltd.</v>
      </c>
    </row>
    <row r="16" spans="1:34" s="227" customFormat="1" ht="20.100000000000001" customHeight="1">
      <c r="A16" s="262" t="s">
        <v>702</v>
      </c>
      <c r="B16" s="182" t="str">
        <f ca="1">IF(LEN(A16)=0,"",INDEX('Smelter Look-up'!$A:$A,MATCH($A16,'Smelter Look-up'!$E:$E,0)))</f>
        <v>Gold</v>
      </c>
      <c r="C16" s="186" t="str">
        <f ca="1">IF(LEN(A16)=0,"",INDEX('Smelter Look-up'!$C:$C,MATCH($A16,'Smelter Look-up'!$E:$E,0)))</f>
        <v>Metalor USA Refining Corporation</v>
      </c>
      <c r="D16" s="230"/>
      <c r="E16" s="182" t="str">
        <f ca="1">IF(ISERROR($V16),"",OFFSET('Smelter Look-up'!$D$4,$V16-4,0)&amp;"")</f>
        <v>UNITED STATES OF AMERICA</v>
      </c>
      <c r="F16" s="182" t="str">
        <f ca="1">IF(ISERROR($V16),"",OFFSET('Smelter Look-up'!$E$4,$V16-4,0))</f>
        <v>CID001157</v>
      </c>
      <c r="G16" s="182" t="str">
        <f ca="1">IF(C16=$X$4,IF(ISERROR($V16),"Enter smelter details","RMI"),IF(ISERROR($V16),"",OFFSET('Smelter Look-up'!$F$4,$V16-4,0)))</f>
        <v>RMI</v>
      </c>
      <c r="H16" s="183">
        <f ca="1">IF(ISERROR($V16),"",OFFSET('Smelter Look-up'!$G$4,$V16-4,0))</f>
        <v>0</v>
      </c>
      <c r="I16" s="184" t="str">
        <f ca="1">IF(ISERROR($V16),"",OFFSET('Smelter Look-up'!$H$4,$V16-4,0))</f>
        <v>North Attleboro</v>
      </c>
      <c r="J16" s="184" t="str">
        <f ca="1">IF(ISERROR($V16),"",OFFSET('Smelter Look-up'!$I$4,$V16-4,0))</f>
        <v>Massachusetts</v>
      </c>
      <c r="K16" s="224"/>
      <c r="L16" s="224"/>
      <c r="M16" s="224"/>
      <c r="N16" s="224"/>
      <c r="O16" s="224"/>
      <c r="P16" s="185"/>
      <c r="Q16" s="225"/>
      <c r="R16" s="182" t="str">
        <f ca="1">IF(ISERROR($V16),"",OFFSET('Smelter Look-up'!$C$4,$V16-4,0)&amp;"")</f>
        <v>Metalor USA Refining Corporation</v>
      </c>
      <c r="S16" s="181" t="str">
        <f t="shared" ca="1" si="2"/>
        <v>US</v>
      </c>
      <c r="T16" s="181" t="str">
        <f ca="1">IF(B16="","",IF(ISERROR(MATCH($J16,SorP!$B$1:$B$6226,0)),"",INDIRECT("'SorP'!$A$"&amp;MATCH($S16&amp;$J16,SorP!C:C,0))))</f>
        <v>US-MA</v>
      </c>
      <c r="U16" s="201"/>
      <c r="V16" s="226">
        <f ca="1">IF(C16="",NA(),IF(OR(C16="Smelter not listed",C16="Smelter not yet identified"),MATCH($B16&amp;$D16,'Smelter Look-up'!$J:$J,0),MATCH($B16&amp;$C16,'Smelter Look-up'!$J:$J,0)))</f>
        <v>187</v>
      </c>
      <c r="X16" s="227">
        <f t="shared" ca="1" si="3"/>
        <v>0</v>
      </c>
      <c r="AB16" s="228" t="str">
        <f t="shared" ca="1" si="4"/>
        <v>GoldMetalor USA Refining Corporation</v>
      </c>
    </row>
    <row r="17" spans="1:28" s="227" customFormat="1" ht="20.100000000000001" customHeight="1">
      <c r="A17" s="262" t="s">
        <v>762</v>
      </c>
      <c r="B17" s="182" t="str">
        <f ca="1">IF(LEN(A17)=0,"",INDEX('Smelter Look-up'!$A:$A,MATCH($A17,'Smelter Look-up'!$E:$E,0)))</f>
        <v>Tin</v>
      </c>
      <c r="C17" s="186" t="str">
        <f ca="1">IF(LEN(A17)=0,"",INDEX('Smelter Look-up'!$C:$C,MATCH($A17,'Smelter Look-up'!$E:$E,0)))</f>
        <v>Gejiu Non-Ferrous Metal Processing Co., Ltd.</v>
      </c>
      <c r="D17" s="230"/>
      <c r="E17" s="182" t="str">
        <f ca="1">IF(ISERROR($V17),"",OFFSET('Smelter Look-up'!$D$4,$V17-4,0)&amp;"")</f>
        <v>CHINA</v>
      </c>
      <c r="F17" s="182" t="str">
        <f ca="1">IF(ISERROR($V17),"",OFFSET('Smelter Look-up'!$E$4,$V17-4,0))</f>
        <v>CID000538</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Gejiu Non-Ferrous Metal Processing Co., Ltd.</v>
      </c>
      <c r="S17" s="181" t="str">
        <f t="shared" ca="1" si="2"/>
        <v>CN</v>
      </c>
      <c r="T17" s="181" t="str">
        <f ca="1">IF(B17="","",IF(ISERROR(MATCH($J17,SorP!$B$1:$B$6226,0)),"",INDIRECT("'SorP'!$A$"&amp;MATCH($S17&amp;$J17,SorP!C:C,0))))</f>
        <v>CN-YN</v>
      </c>
      <c r="U17" s="201"/>
      <c r="V17" s="226">
        <f ca="1">IF(C17="",NA(),IF(OR(C17="Smelter not listed",C17="Smelter not yet identified"),MATCH($B17&amp;$D17,'Smelter Look-up'!$J:$J,0),MATCH($B17&amp;$C17,'Smelter Look-up'!$J:$J,0)))</f>
        <v>448</v>
      </c>
      <c r="X17" s="227">
        <f t="shared" ca="1" si="3"/>
        <v>0</v>
      </c>
      <c r="AB17" s="228" t="str">
        <f t="shared" ca="1" si="4"/>
        <v>TinGejiu Non-Ferrous Metal Processing Co., Ltd.</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2052819-3966-47CF-8550-47EED3F54DE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Tecate Group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Jim Kroessler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jimk@tecategroup.com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619-398-9700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Jim Kroessler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jimk@tecategroup.com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http://www.tecategroup.com/about/dec&amp;cert-files/TecateGroup-ConflictMineralsPolicy.pdf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B21"/>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15864</v>
      </c>
      <c r="C6" s="98"/>
      <c r="D6" s="98"/>
      <c r="E6" s="276"/>
    </row>
    <row r="7" spans="1:6" ht="15.75">
      <c r="A7" s="129"/>
      <c r="B7" s="274" t="s">
        <v>15865</v>
      </c>
      <c r="C7" s="98"/>
      <c r="D7" s="98"/>
      <c r="E7" s="276"/>
    </row>
    <row r="8" spans="1:6" ht="15.75">
      <c r="A8" s="129"/>
      <c r="B8" s="274" t="s">
        <v>15866</v>
      </c>
      <c r="C8" s="98"/>
      <c r="D8" s="98"/>
      <c r="E8" s="276"/>
    </row>
    <row r="9" spans="1:6" ht="15.75">
      <c r="A9" s="129"/>
      <c r="B9" s="274" t="s">
        <v>15867</v>
      </c>
      <c r="C9" s="98"/>
      <c r="D9" s="98"/>
      <c r="E9" s="276"/>
    </row>
    <row r="10" spans="1:6" ht="15.75">
      <c r="A10" s="129"/>
      <c r="B10" s="274" t="s">
        <v>15868</v>
      </c>
      <c r="C10" s="98"/>
      <c r="D10" s="98"/>
      <c r="E10" s="276"/>
    </row>
    <row r="11" spans="1:6" ht="15.75">
      <c r="A11" s="129"/>
      <c r="B11" s="274" t="s">
        <v>15869</v>
      </c>
      <c r="C11" s="98"/>
      <c r="D11" s="98"/>
      <c r="E11" s="276"/>
    </row>
    <row r="12" spans="1:6" ht="15.75">
      <c r="A12" s="129"/>
      <c r="B12" s="274" t="s">
        <v>15870</v>
      </c>
      <c r="C12" s="98"/>
      <c r="D12" s="98"/>
      <c r="E12" s="276"/>
    </row>
    <row r="13" spans="1:6" ht="15.75">
      <c r="A13" s="129"/>
      <c r="B13" s="274" t="s">
        <v>15871</v>
      </c>
      <c r="C13" s="98"/>
      <c r="D13" s="98"/>
      <c r="E13" s="276"/>
    </row>
    <row r="14" spans="1:6" ht="15.75">
      <c r="A14" s="129"/>
      <c r="B14" s="274" t="s">
        <v>15872</v>
      </c>
      <c r="C14" s="98"/>
      <c r="D14" s="98"/>
      <c r="E14" s="276"/>
    </row>
    <row r="15" spans="1:6" ht="15.75">
      <c r="A15" s="129"/>
      <c r="B15" s="274" t="s">
        <v>15873</v>
      </c>
      <c r="C15" s="98"/>
      <c r="D15" s="98"/>
      <c r="E15" s="276"/>
    </row>
    <row r="16" spans="1:6" ht="15.75">
      <c r="A16" s="129"/>
      <c r="B16" s="274" t="s">
        <v>15874</v>
      </c>
      <c r="C16" s="98"/>
      <c r="D16" s="98"/>
      <c r="E16" s="276"/>
    </row>
    <row r="17" spans="1:5" ht="15.75">
      <c r="A17" s="129"/>
      <c r="B17" s="274" t="s">
        <v>15875</v>
      </c>
      <c r="C17" s="98"/>
      <c r="D17" s="98"/>
      <c r="E17" s="276"/>
    </row>
    <row r="18" spans="1:5" ht="15.75">
      <c r="A18" s="129"/>
      <c r="B18" s="274" t="s">
        <v>15876</v>
      </c>
      <c r="C18" s="98"/>
      <c r="D18" s="98"/>
      <c r="E18" s="276"/>
    </row>
    <row r="19" spans="1:5" ht="15.75">
      <c r="A19" s="129"/>
      <c r="B19" s="274" t="s">
        <v>15877</v>
      </c>
      <c r="C19" s="98"/>
      <c r="D19" s="98"/>
      <c r="E19" s="276"/>
    </row>
    <row r="20" spans="1:5" ht="15.75">
      <c r="A20" s="129"/>
      <c r="B20" s="274" t="s">
        <v>15878</v>
      </c>
      <c r="C20" s="98"/>
      <c r="D20" s="98"/>
      <c r="E20" s="276"/>
    </row>
    <row r="21" spans="1:5" ht="15.75">
      <c r="A21" s="129"/>
      <c r="B21" s="274" t="s">
        <v>15879</v>
      </c>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James Kroessler</cp:lastModifiedBy>
  <cp:lastPrinted>2015-04-21T20:47:43Z</cp:lastPrinted>
  <dcterms:created xsi:type="dcterms:W3CDTF">2010-06-21T21:00:23Z</dcterms:created>
  <dcterms:modified xsi:type="dcterms:W3CDTF">2024-05-01T20:43:45Z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